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T:\ODS\Татаева Е.М\Размещение на сайте\2025\1 квартал\"/>
    </mc:Choice>
  </mc:AlternateContent>
  <xr:revisionPtr revIDLastSave="0" documentId="8_{5A556183-3D90-4056-B5FF-361781C01599}" xr6:coauthVersionLast="47" xr6:coauthVersionMax="47" xr10:uidLastSave="{00000000-0000-0000-0000-000000000000}"/>
  <bookViews>
    <workbookView xWindow="-120" yWindow="-120" windowWidth="29040" windowHeight="15840" xr2:uid="{1DB04A7B-10E7-4A8A-A7A1-784D0529186C}"/>
  </bookViews>
  <sheets>
    <sheet name="1кв.2026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63" i="1" l="1"/>
  <c r="D2862" i="1"/>
  <c r="D2861" i="1"/>
  <c r="D2859" i="1"/>
  <c r="D2857" i="1"/>
  <c r="D2856" i="1"/>
  <c r="D2855" i="1"/>
  <c r="D2849" i="1"/>
  <c r="D2846" i="1"/>
  <c r="D2845" i="1"/>
  <c r="D2844" i="1"/>
  <c r="D2842" i="1"/>
  <c r="D2841" i="1"/>
  <c r="D2839" i="1"/>
  <c r="D2835" i="1"/>
  <c r="D2833" i="1"/>
  <c r="D2830" i="1"/>
  <c r="D2829" i="1"/>
  <c r="D2826" i="1"/>
  <c r="D2825" i="1"/>
  <c r="D2824" i="1"/>
  <c r="D2823" i="1"/>
  <c r="D2822" i="1"/>
  <c r="D2821" i="1"/>
  <c r="D2820" i="1"/>
  <c r="D2813" i="1"/>
  <c r="D2811" i="1"/>
  <c r="D2809" i="1"/>
  <c r="D2807" i="1"/>
  <c r="D2806" i="1"/>
  <c r="D2805" i="1"/>
  <c r="D2798" i="1"/>
  <c r="D2797" i="1"/>
  <c r="D2796" i="1"/>
  <c r="D2795" i="1"/>
  <c r="D2793" i="1"/>
  <c r="D2792" i="1"/>
  <c r="D2791" i="1"/>
  <c r="D2790" i="1"/>
  <c r="D2789" i="1"/>
  <c r="D2785" i="1"/>
  <c r="D2784" i="1"/>
  <c r="D2782" i="1"/>
  <c r="D2781" i="1"/>
  <c r="D2780" i="1"/>
  <c r="D2779" i="1"/>
  <c r="D2778" i="1"/>
  <c r="D2777" i="1"/>
  <c r="D2776" i="1"/>
  <c r="D2775" i="1"/>
  <c r="D2774" i="1"/>
  <c r="D2773" i="1"/>
  <c r="D2772" i="1"/>
  <c r="D2771" i="1"/>
  <c r="D2766" i="1"/>
  <c r="D2765" i="1"/>
  <c r="D2764" i="1"/>
  <c r="D2763" i="1"/>
  <c r="D2760" i="1"/>
  <c r="D2759" i="1"/>
  <c r="D2757" i="1"/>
  <c r="D2756" i="1"/>
  <c r="D2755" i="1"/>
  <c r="D2754" i="1"/>
  <c r="D2753" i="1"/>
  <c r="D2751" i="1"/>
  <c r="D2750" i="1"/>
  <c r="D2749" i="1"/>
  <c r="D2748" i="1"/>
  <c r="D2747" i="1"/>
  <c r="D2745" i="1"/>
  <c r="D2744" i="1"/>
  <c r="D2740" i="1"/>
  <c r="D2736" i="1"/>
  <c r="D2735" i="1"/>
  <c r="D2733" i="1"/>
  <c r="D2732" i="1"/>
  <c r="D2731" i="1"/>
  <c r="D2730" i="1"/>
  <c r="D2729" i="1"/>
  <c r="D2727" i="1"/>
  <c r="D2725" i="1"/>
  <c r="D2722" i="1"/>
  <c r="D2721" i="1"/>
  <c r="D2720" i="1"/>
  <c r="D2717" i="1"/>
  <c r="D2716" i="1"/>
  <c r="D2715" i="1"/>
  <c r="D2713" i="1"/>
  <c r="D2712" i="1"/>
  <c r="D2711" i="1"/>
  <c r="D2709" i="1"/>
  <c r="D2708" i="1"/>
  <c r="D2706" i="1"/>
  <c r="D2705" i="1"/>
  <c r="D2703" i="1"/>
  <c r="D2698" i="1"/>
  <c r="D2697" i="1"/>
  <c r="D2696" i="1"/>
  <c r="D2695" i="1"/>
  <c r="D2694" i="1"/>
  <c r="D2691" i="1"/>
  <c r="D2687" i="1"/>
  <c r="D2686" i="1"/>
  <c r="D2684" i="1"/>
  <c r="D2683" i="1"/>
  <c r="D2682" i="1"/>
  <c r="D2681" i="1"/>
  <c r="D2680" i="1"/>
  <c r="D2674" i="1"/>
  <c r="D2673" i="1"/>
  <c r="D2672" i="1"/>
  <c r="D2670" i="1"/>
  <c r="D2668" i="1"/>
  <c r="D2665" i="1"/>
  <c r="D2662" i="1"/>
  <c r="D2661" i="1"/>
  <c r="D2660" i="1"/>
  <c r="D2659" i="1"/>
  <c r="D2653" i="1"/>
  <c r="D2642" i="1"/>
  <c r="D2640" i="1"/>
  <c r="D2639" i="1"/>
  <c r="D2638" i="1"/>
  <c r="D2637" i="1"/>
  <c r="D2634" i="1"/>
  <c r="D2625" i="1"/>
  <c r="D2624" i="1"/>
  <c r="D2623" i="1"/>
  <c r="D2618" i="1"/>
  <c r="D2611" i="1"/>
  <c r="D2608" i="1"/>
  <c r="D2607" i="1"/>
  <c r="D2606" i="1"/>
  <c r="D2605" i="1"/>
  <c r="D2604" i="1"/>
  <c r="D2603" i="1"/>
  <c r="D2602" i="1"/>
  <c r="D2601" i="1"/>
  <c r="D2600" i="1"/>
  <c r="D2597" i="1"/>
  <c r="D2596" i="1"/>
  <c r="D2595" i="1"/>
  <c r="D2594" i="1"/>
  <c r="D2591" i="1"/>
  <c r="D2590" i="1"/>
  <c r="D2587" i="1"/>
  <c r="D2586" i="1"/>
  <c r="D2585" i="1"/>
  <c r="D2582" i="1"/>
  <c r="D2581" i="1"/>
  <c r="D2579" i="1"/>
  <c r="D2578" i="1"/>
  <c r="D2575" i="1"/>
  <c r="D2573" i="1"/>
  <c r="D2568" i="1"/>
  <c r="D2566" i="1"/>
  <c r="D2565" i="1"/>
  <c r="D2559" i="1"/>
  <c r="D2558" i="1"/>
  <c r="D2555" i="1"/>
  <c r="D2554" i="1"/>
  <c r="D2547" i="1"/>
  <c r="D2541" i="1"/>
  <c r="D2539" i="1"/>
  <c r="D2536" i="1"/>
  <c r="D2535" i="1"/>
  <c r="D2533" i="1"/>
  <c r="D2532" i="1"/>
  <c r="D2531" i="1"/>
  <c r="D2528" i="1"/>
  <c r="D2527" i="1"/>
  <c r="D2526" i="1"/>
  <c r="D2525" i="1"/>
  <c r="D2524" i="1"/>
  <c r="D2523" i="1"/>
  <c r="D2522" i="1"/>
  <c r="D2520" i="1"/>
  <c r="D2518" i="1"/>
  <c r="D2516" i="1"/>
  <c r="D2515" i="1"/>
  <c r="D2514" i="1"/>
  <c r="D2513" i="1"/>
  <c r="D2512" i="1"/>
  <c r="D2511" i="1"/>
  <c r="D2510" i="1"/>
  <c r="D2509" i="1"/>
  <c r="D2508" i="1"/>
  <c r="D2507" i="1"/>
  <c r="D2505" i="1"/>
  <c r="D2504" i="1"/>
  <c r="D2500" i="1"/>
  <c r="D2499" i="1"/>
  <c r="D2498" i="1"/>
  <c r="D2497" i="1"/>
  <c r="D2496" i="1"/>
  <c r="D2493" i="1"/>
  <c r="D2492" i="1"/>
  <c r="D2491" i="1"/>
  <c r="D2490" i="1"/>
  <c r="D2489" i="1"/>
  <c r="D2488" i="1"/>
  <c r="D2487" i="1"/>
  <c r="D2486" i="1"/>
  <c r="D2485" i="1"/>
  <c r="D2478" i="1"/>
  <c r="D2476" i="1"/>
  <c r="D2475" i="1"/>
  <c r="D2472" i="1"/>
  <c r="D2471" i="1"/>
  <c r="D2467" i="1"/>
  <c r="D2466" i="1"/>
  <c r="D2465" i="1"/>
  <c r="D2464" i="1"/>
  <c r="D2463" i="1"/>
  <c r="D2462" i="1"/>
  <c r="D2461" i="1"/>
  <c r="D2460" i="1"/>
  <c r="D2459" i="1"/>
  <c r="D2458" i="1"/>
  <c r="D2455" i="1"/>
  <c r="D2454" i="1"/>
  <c r="D2453" i="1"/>
  <c r="D2450" i="1"/>
  <c r="D2449" i="1"/>
  <c r="D2448" i="1"/>
  <c r="D2447" i="1"/>
  <c r="D2446" i="1"/>
  <c r="D2442" i="1"/>
  <c r="D2439" i="1"/>
  <c r="D2437" i="1"/>
  <c r="D2434" i="1"/>
  <c r="D2433" i="1"/>
  <c r="D2432" i="1"/>
  <c r="D2429" i="1"/>
  <c r="D2428" i="1"/>
  <c r="D2426" i="1"/>
  <c r="D2425" i="1"/>
  <c r="D2424" i="1"/>
  <c r="D2423" i="1"/>
  <c r="D2422" i="1"/>
  <c r="D2421" i="1"/>
  <c r="D2417" i="1"/>
  <c r="D2414" i="1"/>
  <c r="D2412" i="1"/>
  <c r="D2411" i="1"/>
  <c r="D2410" i="1"/>
  <c r="D2409" i="1"/>
  <c r="D2408" i="1"/>
  <c r="D2407" i="1"/>
  <c r="D2406" i="1"/>
  <c r="D2405" i="1"/>
  <c r="D2402" i="1"/>
  <c r="D2401" i="1"/>
  <c r="D2400" i="1"/>
  <c r="D2399" i="1"/>
  <c r="D2398" i="1"/>
  <c r="D2397" i="1"/>
  <c r="D2394" i="1"/>
  <c r="D2393" i="1"/>
  <c r="D2391" i="1"/>
  <c r="D2390" i="1"/>
  <c r="D2389" i="1"/>
  <c r="D2388" i="1"/>
  <c r="D2387" i="1"/>
  <c r="D2384" i="1"/>
  <c r="D2381" i="1"/>
  <c r="D2380" i="1"/>
  <c r="D2379" i="1"/>
  <c r="D2377" i="1"/>
  <c r="D2374" i="1"/>
  <c r="D2373" i="1"/>
  <c r="D2372" i="1"/>
  <c r="D2370" i="1"/>
  <c r="D2369" i="1"/>
  <c r="D2368" i="1"/>
  <c r="D2367" i="1"/>
  <c r="D2365" i="1"/>
  <c r="D2364" i="1"/>
  <c r="D2363" i="1"/>
  <c r="D2362" i="1"/>
  <c r="D2361" i="1"/>
  <c r="D2356" i="1"/>
  <c r="D2355" i="1"/>
  <c r="D2353" i="1"/>
  <c r="D2351" i="1"/>
  <c r="D2348" i="1"/>
  <c r="D2347" i="1"/>
  <c r="D2346" i="1"/>
  <c r="D2345" i="1"/>
  <c r="D2344" i="1"/>
  <c r="D2342" i="1"/>
  <c r="D2341" i="1"/>
  <c r="D2340" i="1"/>
  <c r="D2339" i="1"/>
  <c r="D2336" i="1"/>
  <c r="D2333" i="1"/>
  <c r="D2329" i="1"/>
  <c r="D2327" i="1"/>
  <c r="D2326" i="1"/>
  <c r="D2325" i="1"/>
  <c r="D2322" i="1"/>
  <c r="D2321" i="1"/>
  <c r="D2320" i="1"/>
  <c r="D2319" i="1"/>
  <c r="D2317" i="1"/>
  <c r="D2315" i="1"/>
  <c r="D2314" i="1"/>
  <c r="D2310" i="1"/>
  <c r="D2309" i="1"/>
  <c r="D2308" i="1"/>
  <c r="D2307" i="1"/>
  <c r="D2306" i="1"/>
  <c r="D2305" i="1"/>
  <c r="D2302" i="1"/>
  <c r="D2301" i="1"/>
  <c r="D2300" i="1"/>
  <c r="D2299" i="1"/>
  <c r="D2298" i="1"/>
  <c r="D2296" i="1"/>
  <c r="D2295" i="1"/>
  <c r="D2294" i="1"/>
  <c r="D2293" i="1"/>
  <c r="D2292" i="1"/>
  <c r="D2291" i="1"/>
  <c r="D2287" i="1"/>
  <c r="D2285" i="1"/>
  <c r="D2281" i="1"/>
  <c r="D2280" i="1"/>
  <c r="D2279" i="1"/>
  <c r="D2278" i="1"/>
  <c r="D2277" i="1"/>
  <c r="D2275" i="1"/>
  <c r="D2272" i="1"/>
  <c r="D2271" i="1"/>
  <c r="D2270" i="1"/>
  <c r="D2268" i="1"/>
  <c r="D2264" i="1"/>
  <c r="D2261" i="1"/>
  <c r="D2259" i="1"/>
  <c r="D2258" i="1"/>
  <c r="D2257" i="1"/>
  <c r="D2256" i="1"/>
  <c r="D2255" i="1"/>
  <c r="D2254" i="1"/>
  <c r="D2253" i="1"/>
  <c r="D2252" i="1"/>
  <c r="D2251" i="1"/>
  <c r="D2250" i="1"/>
  <c r="D2249" i="1"/>
  <c r="D2245" i="1"/>
  <c r="D2243" i="1"/>
  <c r="D2242" i="1"/>
  <c r="D2240" i="1"/>
  <c r="D2235" i="1"/>
  <c r="D2233" i="1"/>
  <c r="D2232" i="1"/>
  <c r="D2231" i="1"/>
  <c r="D2230" i="1"/>
  <c r="D2229" i="1"/>
  <c r="D2228" i="1"/>
  <c r="D2223" i="1"/>
  <c r="D2222" i="1"/>
  <c r="D2221" i="1"/>
  <c r="D2220" i="1"/>
  <c r="D2217" i="1"/>
  <c r="D2216" i="1"/>
  <c r="D2215" i="1"/>
  <c r="D2213" i="1"/>
  <c r="D2212" i="1"/>
  <c r="D2211" i="1"/>
  <c r="D2210" i="1"/>
  <c r="D2205" i="1"/>
  <c r="D2204" i="1"/>
  <c r="D2202" i="1"/>
  <c r="D2197" i="1"/>
  <c r="D2196" i="1"/>
  <c r="D2195" i="1"/>
  <c r="D2194" i="1"/>
  <c r="D2192" i="1"/>
  <c r="D2191" i="1"/>
  <c r="D2187" i="1"/>
  <c r="D2186" i="1"/>
  <c r="D2183" i="1"/>
  <c r="D2182" i="1"/>
  <c r="D2181" i="1"/>
  <c r="D2179" i="1"/>
  <c r="D2178" i="1"/>
  <c r="D2177" i="1"/>
  <c r="D2175" i="1"/>
  <c r="D2173" i="1"/>
  <c r="D2172" i="1"/>
  <c r="D2170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4" i="1"/>
  <c r="D2145" i="1"/>
  <c r="D2143" i="1"/>
  <c r="D2142" i="1"/>
  <c r="D2140" i="1"/>
  <c r="D2138" i="1"/>
  <c r="D2137" i="1"/>
  <c r="D2136" i="1"/>
  <c r="D2132" i="1"/>
  <c r="D2131" i="1"/>
  <c r="D2130" i="1"/>
  <c r="D2129" i="1"/>
  <c r="D2128" i="1"/>
  <c r="D2127" i="1"/>
  <c r="D2126" i="1"/>
  <c r="D2123" i="1"/>
  <c r="D2122" i="1"/>
  <c r="D2120" i="1"/>
  <c r="D2119" i="1"/>
  <c r="D2118" i="1"/>
  <c r="D2117" i="1"/>
  <c r="D2116" i="1"/>
  <c r="D2115" i="1"/>
  <c r="D2114" i="1"/>
  <c r="D2113" i="1"/>
  <c r="D2108" i="1"/>
  <c r="D2107" i="1"/>
  <c r="D2098" i="1"/>
  <c r="D2092" i="1"/>
  <c r="D2087" i="1"/>
  <c r="D2086" i="1"/>
  <c r="D2085" i="1"/>
  <c r="D2081" i="1"/>
  <c r="D2080" i="1"/>
  <c r="D2079" i="1"/>
  <c r="D2077" i="1"/>
  <c r="D2076" i="1"/>
  <c r="D2075" i="1"/>
  <c r="D2073" i="1"/>
  <c r="D2072" i="1"/>
  <c r="D2071" i="1"/>
  <c r="D2070" i="1"/>
  <c r="D2068" i="1"/>
  <c r="D2065" i="1"/>
  <c r="D2063" i="1"/>
  <c r="D2062" i="1"/>
  <c r="D2060" i="1"/>
  <c r="D2058" i="1"/>
  <c r="D2057" i="1"/>
  <c r="D2056" i="1"/>
  <c r="D2053" i="1"/>
  <c r="D2052" i="1"/>
  <c r="D2045" i="1"/>
  <c r="D2044" i="1"/>
  <c r="D2043" i="1"/>
  <c r="D2042" i="1"/>
  <c r="D2039" i="1"/>
  <c r="D2038" i="1"/>
  <c r="D2037" i="1"/>
  <c r="D2034" i="1"/>
  <c r="D2031" i="1"/>
  <c r="D2030" i="1"/>
  <c r="D2028" i="1"/>
  <c r="D2027" i="1"/>
  <c r="D2026" i="1"/>
  <c r="D2025" i="1"/>
  <c r="D2024" i="1"/>
  <c r="D2020" i="1"/>
  <c r="D2019" i="1"/>
  <c r="D2018" i="1"/>
  <c r="D2017" i="1"/>
  <c r="D2016" i="1"/>
  <c r="D2014" i="1"/>
  <c r="D2011" i="1"/>
  <c r="D2010" i="1"/>
  <c r="D2009" i="1"/>
  <c r="D2007" i="1"/>
  <c r="D2006" i="1"/>
  <c r="D2005" i="1"/>
  <c r="D2004" i="1"/>
  <c r="D2003" i="1"/>
  <c r="D2002" i="1"/>
  <c r="D1999" i="1"/>
  <c r="D1998" i="1"/>
  <c r="D1997" i="1"/>
  <c r="D1996" i="1"/>
  <c r="D1993" i="1"/>
  <c r="D1991" i="1"/>
  <c r="D1990" i="1"/>
  <c r="D1989" i="1"/>
  <c r="D1988" i="1"/>
  <c r="D1987" i="1"/>
  <c r="D1983" i="1"/>
  <c r="D1982" i="1"/>
  <c r="D1981" i="1"/>
  <c r="D1979" i="1"/>
  <c r="D1978" i="1"/>
  <c r="D1975" i="1"/>
  <c r="D1974" i="1"/>
  <c r="D1972" i="1"/>
  <c r="D1969" i="1"/>
  <c r="D1968" i="1"/>
  <c r="D1966" i="1"/>
  <c r="D1964" i="1"/>
  <c r="D1963" i="1"/>
  <c r="D1962" i="1"/>
  <c r="D1961" i="1"/>
  <c r="D1960" i="1"/>
  <c r="D1957" i="1"/>
  <c r="D1956" i="1"/>
  <c r="D1955" i="1"/>
  <c r="D1954" i="1"/>
  <c r="D1953" i="1"/>
  <c r="D1950" i="1"/>
  <c r="D1947" i="1"/>
  <c r="D1946" i="1"/>
  <c r="D1945" i="1"/>
  <c r="D1942" i="1"/>
  <c r="D1941" i="1"/>
  <c r="D1936" i="1"/>
  <c r="D1932" i="1"/>
  <c r="D1930" i="1"/>
  <c r="D1929" i="1"/>
  <c r="D1927" i="1"/>
  <c r="D1918" i="1"/>
  <c r="D1914" i="1"/>
  <c r="D1913" i="1"/>
  <c r="D1911" i="1"/>
  <c r="D1909" i="1"/>
  <c r="D1906" i="1"/>
  <c r="D1904" i="1"/>
  <c r="D1903" i="1"/>
  <c r="D1902" i="1"/>
  <c r="D1900" i="1"/>
  <c r="D1899" i="1"/>
  <c r="D1895" i="1"/>
  <c r="D1892" i="1"/>
  <c r="D1891" i="1"/>
  <c r="D1890" i="1"/>
  <c r="D1889" i="1"/>
  <c r="D1888" i="1"/>
  <c r="D1887" i="1"/>
  <c r="D1886" i="1"/>
  <c r="D1885" i="1"/>
  <c r="D1881" i="1"/>
  <c r="D1879" i="1"/>
  <c r="D1878" i="1"/>
  <c r="D1875" i="1"/>
  <c r="D1874" i="1"/>
  <c r="D1873" i="1"/>
  <c r="D1872" i="1"/>
  <c r="D1870" i="1"/>
  <c r="D1868" i="1"/>
  <c r="D1867" i="1"/>
  <c r="D1866" i="1"/>
  <c r="D1865" i="1"/>
  <c r="D1864" i="1"/>
  <c r="D1863" i="1"/>
  <c r="D1861" i="1"/>
  <c r="D1859" i="1"/>
  <c r="D1858" i="1"/>
  <c r="D1857" i="1"/>
  <c r="D1855" i="1"/>
  <c r="D1852" i="1"/>
  <c r="D1851" i="1"/>
  <c r="D1850" i="1"/>
  <c r="D1849" i="1"/>
  <c r="D1845" i="1"/>
  <c r="D1844" i="1"/>
  <c r="D1843" i="1"/>
  <c r="D1842" i="1"/>
  <c r="D1841" i="1"/>
  <c r="D1840" i="1"/>
  <c r="D1839" i="1"/>
  <c r="D1837" i="1"/>
  <c r="D1836" i="1"/>
  <c r="D1835" i="1"/>
  <c r="D1833" i="1"/>
  <c r="D1831" i="1"/>
  <c r="D1828" i="1"/>
  <c r="D1827" i="1"/>
  <c r="D1826" i="1"/>
  <c r="D1825" i="1"/>
  <c r="D1824" i="1"/>
  <c r="D1823" i="1"/>
  <c r="D1822" i="1"/>
  <c r="D1821" i="1"/>
  <c r="D1820" i="1"/>
  <c r="D1819" i="1"/>
  <c r="D1816" i="1"/>
  <c r="D1815" i="1"/>
  <c r="D1814" i="1"/>
  <c r="D1813" i="1"/>
  <c r="D1811" i="1"/>
  <c r="D1810" i="1"/>
  <c r="D1809" i="1"/>
  <c r="D1806" i="1"/>
  <c r="D1804" i="1"/>
  <c r="D1803" i="1"/>
  <c r="D1802" i="1"/>
  <c r="D1801" i="1"/>
  <c r="D1800" i="1"/>
  <c r="D1797" i="1"/>
  <c r="D1795" i="1"/>
  <c r="D1794" i="1"/>
  <c r="D1790" i="1"/>
  <c r="D1786" i="1"/>
  <c r="D1783" i="1"/>
  <c r="D1782" i="1"/>
  <c r="D1781" i="1"/>
  <c r="D1778" i="1"/>
  <c r="D1777" i="1"/>
  <c r="D1774" i="1"/>
  <c r="D1773" i="1"/>
  <c r="D1772" i="1"/>
  <c r="D1771" i="1"/>
  <c r="D1768" i="1"/>
  <c r="D1767" i="1"/>
  <c r="D1766" i="1"/>
  <c r="D1765" i="1"/>
  <c r="D1764" i="1"/>
  <c r="D1763" i="1"/>
  <c r="D1762" i="1"/>
  <c r="D1761" i="1"/>
  <c r="D1760" i="1"/>
  <c r="D1757" i="1"/>
  <c r="D1756" i="1"/>
  <c r="D1755" i="1"/>
  <c r="D1754" i="1"/>
  <c r="D1753" i="1"/>
  <c r="D1752" i="1"/>
  <c r="D1750" i="1"/>
  <c r="D1745" i="1"/>
  <c r="D1744" i="1"/>
  <c r="D1743" i="1"/>
  <c r="D1742" i="1"/>
  <c r="D1741" i="1"/>
  <c r="D1740" i="1"/>
  <c r="D1739" i="1"/>
  <c r="D1737" i="1"/>
  <c r="D1736" i="1"/>
  <c r="D1735" i="1"/>
  <c r="D1734" i="1"/>
  <c r="D1731" i="1"/>
  <c r="D1730" i="1"/>
  <c r="D1729" i="1"/>
  <c r="D1726" i="1"/>
  <c r="D1720" i="1"/>
  <c r="D1719" i="1"/>
  <c r="D1718" i="1"/>
  <c r="D1717" i="1"/>
  <c r="D1714" i="1"/>
  <c r="D1713" i="1"/>
  <c r="D1711" i="1"/>
  <c r="D1710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4" i="1"/>
  <c r="D1693" i="1"/>
  <c r="D1692" i="1"/>
  <c r="D1691" i="1"/>
  <c r="D1689" i="1"/>
  <c r="D1687" i="1"/>
  <c r="D1686" i="1"/>
  <c r="D1685" i="1"/>
  <c r="D1684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8" i="1"/>
  <c r="D1666" i="1"/>
  <c r="D1662" i="1"/>
  <c r="D1661" i="1"/>
  <c r="D1660" i="1"/>
  <c r="D1659" i="1"/>
  <c r="D1657" i="1"/>
  <c r="D1656" i="1"/>
  <c r="D1655" i="1"/>
  <c r="D1653" i="1"/>
  <c r="D1652" i="1"/>
  <c r="D1650" i="1"/>
  <c r="D1649" i="1"/>
  <c r="D1646" i="1"/>
  <c r="D1645" i="1"/>
  <c r="D1644" i="1"/>
  <c r="D1643" i="1"/>
  <c r="D1642" i="1"/>
  <c r="D1641" i="1"/>
  <c r="D1640" i="1"/>
  <c r="D1634" i="1"/>
  <c r="D1632" i="1"/>
  <c r="D1631" i="1"/>
  <c r="D1630" i="1"/>
  <c r="D1629" i="1"/>
  <c r="D1628" i="1"/>
  <c r="D1624" i="1"/>
  <c r="D1622" i="1"/>
  <c r="D1621" i="1"/>
  <c r="D1620" i="1"/>
  <c r="D1618" i="1"/>
  <c r="D1617" i="1"/>
  <c r="D1616" i="1"/>
  <c r="D1615" i="1"/>
  <c r="D1614" i="1"/>
  <c r="D1613" i="1"/>
  <c r="D1611" i="1"/>
  <c r="D1610" i="1"/>
  <c r="D1608" i="1"/>
  <c r="D1607" i="1"/>
  <c r="D1605" i="1"/>
  <c r="D1604" i="1"/>
  <c r="D1603" i="1"/>
  <c r="D1602" i="1"/>
  <c r="D1601" i="1"/>
  <c r="D1599" i="1"/>
  <c r="D1596" i="1"/>
  <c r="D1595" i="1"/>
  <c r="D1594" i="1"/>
  <c r="D1593" i="1"/>
  <c r="D1592" i="1"/>
  <c r="D1590" i="1"/>
  <c r="D1589" i="1"/>
  <c r="D1588" i="1"/>
  <c r="D1587" i="1"/>
  <c r="D1585" i="1"/>
  <c r="D1584" i="1"/>
  <c r="D1582" i="1"/>
  <c r="D1581" i="1"/>
  <c r="D1580" i="1"/>
  <c r="D1579" i="1"/>
  <c r="D1578" i="1"/>
  <c r="D1577" i="1"/>
  <c r="D1571" i="1"/>
  <c r="D1570" i="1"/>
  <c r="D1569" i="1"/>
  <c r="D1568" i="1"/>
  <c r="D1567" i="1"/>
  <c r="D1566" i="1"/>
  <c r="D1565" i="1"/>
  <c r="D1564" i="1"/>
  <c r="D1563" i="1"/>
  <c r="D1562" i="1"/>
  <c r="D1560" i="1"/>
  <c r="D1559" i="1"/>
  <c r="D1557" i="1"/>
  <c r="D1556" i="1"/>
  <c r="D1555" i="1"/>
  <c r="D1554" i="1"/>
  <c r="D1553" i="1"/>
  <c r="D1548" i="1"/>
  <c r="D1547" i="1"/>
  <c r="D1546" i="1"/>
  <c r="D1545" i="1"/>
  <c r="D1544" i="1"/>
  <c r="D1543" i="1"/>
  <c r="D1542" i="1"/>
  <c r="D1540" i="1"/>
  <c r="D1536" i="1"/>
  <c r="D1531" i="1"/>
  <c r="D1529" i="1"/>
  <c r="D1526" i="1"/>
  <c r="D1525" i="1"/>
  <c r="D1524" i="1"/>
  <c r="D1523" i="1"/>
  <c r="D1521" i="1"/>
  <c r="D1520" i="1"/>
  <c r="D1519" i="1"/>
  <c r="D1517" i="1"/>
  <c r="D1516" i="1"/>
  <c r="D1515" i="1"/>
  <c r="D1514" i="1"/>
  <c r="D1513" i="1"/>
  <c r="D1509" i="1"/>
  <c r="D1506" i="1"/>
  <c r="D1504" i="1"/>
  <c r="D1503" i="1"/>
  <c r="D1497" i="1"/>
  <c r="D1496" i="1"/>
  <c r="D1492" i="1"/>
  <c r="D1491" i="1"/>
  <c r="D1490" i="1"/>
  <c r="D1489" i="1"/>
  <c r="D1486" i="1"/>
  <c r="D1485" i="1"/>
  <c r="D1484" i="1"/>
  <c r="D1483" i="1"/>
  <c r="D1482" i="1"/>
  <c r="D1481" i="1"/>
  <c r="D1478" i="1"/>
  <c r="D1476" i="1"/>
  <c r="D1475" i="1"/>
  <c r="D1474" i="1"/>
  <c r="D1473" i="1"/>
  <c r="D1472" i="1"/>
  <c r="D1471" i="1"/>
  <c r="D1470" i="1"/>
  <c r="D1469" i="1"/>
  <c r="D1468" i="1"/>
  <c r="D1458" i="1"/>
  <c r="D1457" i="1"/>
  <c r="D1456" i="1"/>
  <c r="D1455" i="1"/>
  <c r="D1454" i="1"/>
  <c r="D1452" i="1"/>
  <c r="D1451" i="1"/>
  <c r="D1447" i="1"/>
  <c r="D1446" i="1"/>
  <c r="D1444" i="1"/>
  <c r="D1443" i="1"/>
  <c r="D1442" i="1"/>
  <c r="D1441" i="1"/>
  <c r="D1440" i="1"/>
  <c r="D1439" i="1"/>
  <c r="D1438" i="1"/>
  <c r="D1437" i="1"/>
  <c r="D1436" i="1"/>
  <c r="D1435" i="1"/>
  <c r="D1432" i="1"/>
  <c r="D1427" i="1"/>
  <c r="D1425" i="1"/>
  <c r="D1424" i="1"/>
  <c r="D1423" i="1"/>
  <c r="D1422" i="1"/>
  <c r="D1421" i="1"/>
  <c r="D1417" i="1"/>
  <c r="D1413" i="1"/>
  <c r="D1412" i="1"/>
  <c r="D1411" i="1"/>
  <c r="D1408" i="1"/>
  <c r="D1407" i="1"/>
  <c r="D1406" i="1"/>
  <c r="D1403" i="1"/>
  <c r="D1402" i="1"/>
  <c r="D1400" i="1"/>
  <c r="D1399" i="1"/>
  <c r="D1398" i="1"/>
  <c r="D1396" i="1"/>
  <c r="D1395" i="1"/>
  <c r="D1394" i="1"/>
  <c r="D1393" i="1"/>
  <c r="D1391" i="1"/>
  <c r="D1390" i="1"/>
  <c r="D1388" i="1"/>
  <c r="D1387" i="1"/>
  <c r="D1385" i="1"/>
  <c r="D1381" i="1"/>
  <c r="D1380" i="1"/>
  <c r="D1378" i="1"/>
  <c r="D1377" i="1"/>
  <c r="D1376" i="1"/>
  <c r="D1375" i="1"/>
  <c r="D1372" i="1"/>
  <c r="D1371" i="1"/>
  <c r="D1370" i="1"/>
  <c r="D1369" i="1"/>
  <c r="D1368" i="1"/>
  <c r="D1366" i="1"/>
  <c r="D1365" i="1"/>
  <c r="D1364" i="1"/>
  <c r="D1363" i="1"/>
  <c r="D1362" i="1"/>
  <c r="D1360" i="1"/>
  <c r="D1359" i="1"/>
  <c r="D1358" i="1"/>
  <c r="D1357" i="1"/>
  <c r="D1356" i="1"/>
  <c r="D1355" i="1"/>
  <c r="D1353" i="1"/>
  <c r="D1352" i="1"/>
  <c r="D1350" i="1"/>
  <c r="D1348" i="1"/>
  <c r="D1346" i="1"/>
  <c r="D1343" i="1"/>
  <c r="D1338" i="1"/>
  <c r="D1337" i="1"/>
  <c r="D1336" i="1"/>
  <c r="D1335" i="1"/>
  <c r="D1334" i="1"/>
  <c r="D1333" i="1"/>
  <c r="D1332" i="1"/>
  <c r="D1330" i="1"/>
  <c r="D1329" i="1"/>
  <c r="D1328" i="1"/>
  <c r="D1327" i="1"/>
  <c r="D1325" i="1"/>
  <c r="D1324" i="1"/>
  <c r="D1321" i="1"/>
  <c r="D1320" i="1"/>
  <c r="D1319" i="1"/>
  <c r="D1315" i="1"/>
  <c r="D1314" i="1"/>
  <c r="D1313" i="1"/>
  <c r="D1312" i="1"/>
  <c r="D1310" i="1"/>
  <c r="D1307" i="1"/>
  <c r="D1306" i="1"/>
  <c r="D1305" i="1"/>
  <c r="D1304" i="1"/>
  <c r="D1302" i="1"/>
  <c r="D1301" i="1"/>
  <c r="D1300" i="1"/>
  <c r="D1299" i="1"/>
  <c r="D1298" i="1"/>
  <c r="D1297" i="1"/>
  <c r="D1293" i="1"/>
  <c r="D1289" i="1"/>
  <c r="D1288" i="1"/>
  <c r="D1287" i="1"/>
  <c r="D1282" i="1"/>
  <c r="D1281" i="1"/>
  <c r="D1279" i="1"/>
  <c r="D1278" i="1"/>
  <c r="D1271" i="1"/>
  <c r="D1270" i="1"/>
  <c r="D1269" i="1"/>
  <c r="D1268" i="1"/>
  <c r="D1265" i="1"/>
  <c r="D1264" i="1"/>
  <c r="D1263" i="1"/>
  <c r="D1261" i="1"/>
  <c r="D1258" i="1"/>
  <c r="D1256" i="1"/>
  <c r="D1255" i="1"/>
  <c r="D1254" i="1"/>
  <c r="D1253" i="1"/>
  <c r="D1251" i="1"/>
  <c r="D1249" i="1"/>
  <c r="D1248" i="1"/>
  <c r="D1245" i="1"/>
  <c r="D1240" i="1"/>
  <c r="D1239" i="1"/>
  <c r="D1238" i="1"/>
  <c r="D1237" i="1"/>
  <c r="D1235" i="1"/>
  <c r="D1234" i="1"/>
  <c r="D1233" i="1"/>
  <c r="D1232" i="1"/>
  <c r="D1230" i="1"/>
  <c r="D1229" i="1"/>
  <c r="D1228" i="1"/>
  <c r="D1227" i="1"/>
  <c r="D1226" i="1"/>
  <c r="D1224" i="1"/>
  <c r="D1219" i="1"/>
  <c r="D1218" i="1"/>
  <c r="D1217" i="1"/>
  <c r="D1216" i="1"/>
  <c r="D1215" i="1"/>
  <c r="D1214" i="1"/>
  <c r="D1213" i="1"/>
  <c r="D1212" i="1"/>
  <c r="D1209" i="1"/>
  <c r="D1208" i="1"/>
  <c r="D1207" i="1"/>
  <c r="D1206" i="1"/>
  <c r="D1205" i="1"/>
  <c r="D1203" i="1"/>
  <c r="D1202" i="1"/>
  <c r="D1200" i="1"/>
  <c r="D1198" i="1"/>
  <c r="D1197" i="1"/>
  <c r="D1196" i="1"/>
  <c r="D1194" i="1"/>
  <c r="D1190" i="1"/>
  <c r="D1189" i="1"/>
  <c r="D1187" i="1"/>
  <c r="D1186" i="1"/>
  <c r="D1181" i="1"/>
  <c r="D1180" i="1"/>
  <c r="D1177" i="1"/>
  <c r="D1176" i="1"/>
  <c r="D1174" i="1"/>
  <c r="D1173" i="1"/>
  <c r="D1170" i="1"/>
  <c r="D1169" i="1"/>
  <c r="D1168" i="1"/>
  <c r="D1165" i="1"/>
  <c r="D1164" i="1"/>
  <c r="D1163" i="1"/>
  <c r="D1162" i="1"/>
  <c r="D1159" i="1"/>
  <c r="D1158" i="1"/>
  <c r="D1156" i="1"/>
  <c r="D1155" i="1"/>
  <c r="D1154" i="1"/>
  <c r="D1152" i="1"/>
  <c r="D1148" i="1"/>
  <c r="D1147" i="1"/>
  <c r="D1144" i="1"/>
  <c r="D1143" i="1"/>
  <c r="D1139" i="1"/>
  <c r="D1138" i="1"/>
  <c r="D1136" i="1"/>
  <c r="D1135" i="1"/>
  <c r="D1134" i="1"/>
  <c r="D1133" i="1"/>
  <c r="D1132" i="1"/>
  <c r="D1131" i="1"/>
  <c r="D1130" i="1"/>
  <c r="D1129" i="1"/>
  <c r="D1128" i="1"/>
  <c r="D1127" i="1"/>
  <c r="D1126" i="1"/>
  <c r="D1123" i="1"/>
  <c r="D1122" i="1"/>
  <c r="D1121" i="1"/>
  <c r="D1120" i="1"/>
  <c r="D1119" i="1"/>
  <c r="D1117" i="1"/>
  <c r="D1115" i="1"/>
  <c r="D1113" i="1"/>
  <c r="D1109" i="1"/>
  <c r="D1108" i="1"/>
  <c r="D1105" i="1"/>
  <c r="D1104" i="1"/>
  <c r="D1103" i="1"/>
  <c r="D1102" i="1"/>
  <c r="D1100" i="1"/>
  <c r="D1099" i="1"/>
  <c r="D1097" i="1"/>
  <c r="D1096" i="1"/>
  <c r="D1095" i="1"/>
  <c r="D1094" i="1"/>
  <c r="D1092" i="1"/>
  <c r="D1089" i="1"/>
  <c r="D1088" i="1"/>
  <c r="D1085" i="1"/>
  <c r="D1084" i="1"/>
  <c r="D1083" i="1"/>
  <c r="D1081" i="1"/>
  <c r="D1079" i="1"/>
  <c r="D1077" i="1"/>
  <c r="D1071" i="1"/>
  <c r="D1069" i="1"/>
  <c r="D1066" i="1"/>
  <c r="D1065" i="1"/>
  <c r="D1064" i="1"/>
  <c r="D1061" i="1"/>
  <c r="D1060" i="1"/>
  <c r="D1058" i="1"/>
  <c r="D1057" i="1"/>
  <c r="D1056" i="1"/>
  <c r="D1054" i="1"/>
  <c r="D1052" i="1"/>
  <c r="D1051" i="1"/>
  <c r="D1050" i="1"/>
  <c r="D1049" i="1"/>
  <c r="D1046" i="1"/>
  <c r="D1045" i="1"/>
  <c r="D1044" i="1"/>
  <c r="D1043" i="1"/>
  <c r="D1042" i="1"/>
  <c r="D1038" i="1"/>
  <c r="D1037" i="1"/>
  <c r="D1036" i="1"/>
  <c r="D1034" i="1"/>
  <c r="D1033" i="1"/>
  <c r="D1032" i="1"/>
  <c r="D1031" i="1"/>
  <c r="D1029" i="1"/>
  <c r="D1027" i="1"/>
  <c r="D1024" i="1"/>
  <c r="D1023" i="1"/>
  <c r="D1020" i="1"/>
  <c r="D1019" i="1"/>
  <c r="D1018" i="1"/>
  <c r="D1017" i="1"/>
  <c r="D1016" i="1"/>
  <c r="D1014" i="1"/>
  <c r="D1012" i="1"/>
  <c r="D1007" i="1"/>
  <c r="D1006" i="1"/>
  <c r="D1004" i="1"/>
  <c r="D1003" i="1"/>
  <c r="D1002" i="1"/>
  <c r="D1000" i="1"/>
  <c r="D999" i="1"/>
  <c r="D998" i="1"/>
  <c r="D996" i="1"/>
  <c r="D995" i="1"/>
  <c r="D994" i="1"/>
  <c r="D993" i="1"/>
  <c r="D992" i="1"/>
  <c r="D988" i="1"/>
  <c r="D987" i="1"/>
  <c r="D985" i="1"/>
  <c r="D984" i="1"/>
  <c r="D983" i="1"/>
  <c r="D981" i="1"/>
  <c r="D980" i="1"/>
  <c r="D979" i="1"/>
  <c r="D976" i="1"/>
  <c r="D975" i="1"/>
  <c r="D973" i="1"/>
  <c r="D967" i="1"/>
  <c r="D966" i="1"/>
  <c r="D965" i="1"/>
  <c r="D963" i="1"/>
  <c r="D962" i="1"/>
  <c r="D961" i="1"/>
  <c r="D960" i="1"/>
  <c r="D959" i="1"/>
  <c r="D954" i="1"/>
  <c r="D953" i="1"/>
  <c r="D951" i="1"/>
  <c r="D950" i="1"/>
  <c r="D949" i="1"/>
  <c r="D948" i="1"/>
  <c r="D943" i="1"/>
  <c r="D942" i="1"/>
  <c r="D939" i="1"/>
  <c r="D938" i="1"/>
  <c r="D937" i="1"/>
  <c r="D934" i="1"/>
  <c r="D932" i="1"/>
  <c r="D930" i="1"/>
  <c r="D929" i="1"/>
  <c r="D927" i="1"/>
  <c r="D925" i="1"/>
  <c r="D924" i="1"/>
  <c r="D922" i="1"/>
  <c r="D921" i="1"/>
  <c r="D920" i="1"/>
  <c r="D918" i="1"/>
  <c r="D917" i="1"/>
  <c r="D915" i="1"/>
  <c r="D914" i="1"/>
  <c r="D913" i="1"/>
  <c r="D910" i="1"/>
  <c r="D908" i="1"/>
  <c r="D907" i="1"/>
  <c r="D904" i="1"/>
  <c r="D897" i="1"/>
  <c r="D896" i="1"/>
  <c r="D890" i="1"/>
  <c r="D886" i="1"/>
  <c r="D885" i="1"/>
  <c r="D883" i="1"/>
  <c r="D881" i="1"/>
  <c r="D879" i="1"/>
  <c r="D878" i="1"/>
  <c r="D876" i="1"/>
  <c r="D871" i="1"/>
  <c r="D869" i="1"/>
  <c r="D868" i="1"/>
  <c r="D865" i="1"/>
  <c r="D864" i="1"/>
  <c r="D861" i="1"/>
  <c r="D859" i="1"/>
  <c r="D858" i="1"/>
  <c r="D857" i="1"/>
  <c r="D856" i="1"/>
  <c r="D853" i="1"/>
  <c r="D852" i="1"/>
  <c r="D851" i="1"/>
  <c r="D850" i="1"/>
  <c r="D847" i="1"/>
  <c r="D846" i="1"/>
  <c r="D845" i="1"/>
  <c r="D844" i="1"/>
  <c r="D841" i="1"/>
  <c r="D840" i="1"/>
  <c r="D839" i="1"/>
  <c r="D838" i="1"/>
  <c r="D837" i="1"/>
  <c r="D834" i="1"/>
  <c r="D832" i="1"/>
  <c r="D830" i="1"/>
  <c r="D829" i="1"/>
  <c r="D828" i="1"/>
  <c r="D827" i="1"/>
  <c r="D825" i="1"/>
  <c r="D822" i="1"/>
  <c r="D820" i="1"/>
  <c r="D819" i="1"/>
  <c r="D817" i="1"/>
  <c r="D813" i="1"/>
  <c r="D811" i="1"/>
  <c r="D810" i="1"/>
  <c r="D809" i="1"/>
  <c r="D807" i="1"/>
  <c r="D803" i="1"/>
  <c r="D798" i="1"/>
  <c r="D797" i="1"/>
  <c r="D795" i="1"/>
  <c r="D794" i="1"/>
  <c r="D792" i="1"/>
  <c r="D791" i="1"/>
  <c r="D788" i="1"/>
  <c r="D787" i="1"/>
  <c r="D786" i="1"/>
  <c r="D785" i="1"/>
  <c r="D784" i="1"/>
  <c r="D783" i="1"/>
  <c r="D781" i="1"/>
  <c r="D780" i="1"/>
  <c r="D779" i="1"/>
  <c r="D777" i="1"/>
  <c r="D776" i="1"/>
  <c r="D775" i="1"/>
  <c r="D771" i="1"/>
  <c r="D770" i="1"/>
  <c r="D769" i="1"/>
  <c r="D768" i="1"/>
  <c r="D766" i="1"/>
  <c r="D765" i="1"/>
  <c r="D764" i="1"/>
  <c r="D763" i="1"/>
  <c r="D762" i="1"/>
  <c r="D761" i="1"/>
  <c r="D760" i="1"/>
  <c r="D758" i="1"/>
  <c r="D757" i="1"/>
  <c r="D751" i="1"/>
  <c r="D750" i="1"/>
  <c r="D749" i="1"/>
  <c r="D747" i="1"/>
  <c r="D746" i="1"/>
  <c r="D744" i="1"/>
  <c r="D743" i="1"/>
  <c r="D742" i="1"/>
  <c r="D741" i="1"/>
  <c r="D740" i="1"/>
  <c r="D739" i="1"/>
  <c r="D738" i="1"/>
  <c r="D737" i="1"/>
  <c r="D733" i="1"/>
  <c r="D731" i="1"/>
  <c r="D730" i="1"/>
  <c r="D728" i="1"/>
  <c r="D727" i="1"/>
  <c r="D725" i="1"/>
  <c r="D724" i="1"/>
  <c r="D723" i="1"/>
  <c r="D722" i="1"/>
  <c r="D721" i="1"/>
  <c r="D719" i="1"/>
  <c r="D716" i="1"/>
  <c r="D715" i="1"/>
  <c r="D714" i="1"/>
  <c r="D712" i="1"/>
  <c r="D711" i="1"/>
  <c r="D710" i="1"/>
  <c r="D709" i="1"/>
  <c r="D708" i="1"/>
  <c r="D707" i="1"/>
  <c r="D706" i="1"/>
  <c r="D705" i="1"/>
  <c r="D703" i="1"/>
  <c r="D702" i="1"/>
  <c r="D701" i="1"/>
  <c r="D700" i="1"/>
  <c r="D699" i="1"/>
  <c r="D698" i="1"/>
  <c r="D695" i="1"/>
  <c r="D694" i="1"/>
  <c r="D693" i="1"/>
  <c r="D692" i="1"/>
  <c r="D691" i="1"/>
  <c r="D689" i="1"/>
  <c r="D687" i="1"/>
  <c r="D686" i="1"/>
  <c r="D684" i="1"/>
  <c r="D683" i="1"/>
  <c r="D682" i="1"/>
  <c r="D681" i="1"/>
  <c r="D680" i="1"/>
  <c r="D679" i="1"/>
  <c r="D678" i="1"/>
  <c r="D676" i="1"/>
  <c r="D675" i="1"/>
  <c r="D674" i="1"/>
  <c r="D673" i="1"/>
  <c r="D671" i="1"/>
  <c r="D670" i="1"/>
  <c r="D665" i="1"/>
  <c r="D664" i="1"/>
  <c r="D663" i="1"/>
  <c r="D662" i="1"/>
  <c r="D661" i="1"/>
  <c r="D660" i="1"/>
  <c r="D656" i="1"/>
  <c r="D655" i="1"/>
  <c r="D654" i="1"/>
  <c r="D653" i="1"/>
  <c r="D651" i="1"/>
  <c r="D650" i="1"/>
  <c r="D649" i="1"/>
  <c r="D648" i="1"/>
  <c r="D647" i="1"/>
  <c r="D646" i="1"/>
  <c r="D644" i="1"/>
  <c r="D643" i="1"/>
  <c r="D642" i="1"/>
  <c r="D640" i="1"/>
  <c r="D637" i="1"/>
  <c r="D636" i="1"/>
  <c r="D634" i="1"/>
  <c r="D633" i="1"/>
  <c r="D632" i="1"/>
  <c r="D629" i="1"/>
  <c r="D628" i="1"/>
  <c r="D627" i="1"/>
  <c r="D624" i="1"/>
  <c r="D623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5" i="1"/>
  <c r="D602" i="1"/>
  <c r="D601" i="1"/>
  <c r="D600" i="1"/>
  <c r="D599" i="1"/>
  <c r="D598" i="1"/>
  <c r="D597" i="1"/>
  <c r="D596" i="1"/>
  <c r="D594" i="1"/>
  <c r="D593" i="1"/>
  <c r="D592" i="1"/>
  <c r="D591" i="1"/>
  <c r="D589" i="1"/>
  <c r="D588" i="1"/>
  <c r="D587" i="1"/>
  <c r="D586" i="1"/>
  <c r="D585" i="1"/>
  <c r="D584" i="1"/>
  <c r="D583" i="1"/>
  <c r="D582" i="1"/>
  <c r="D581" i="1"/>
  <c r="D579" i="1"/>
  <c r="D578" i="1"/>
  <c r="D577" i="1"/>
  <c r="D576" i="1"/>
  <c r="D575" i="1"/>
  <c r="D573" i="1"/>
  <c r="D572" i="1"/>
  <c r="D571" i="1"/>
  <c r="D569" i="1"/>
  <c r="D568" i="1"/>
  <c r="D566" i="1"/>
  <c r="D565" i="1"/>
  <c r="D564" i="1"/>
  <c r="D563" i="1"/>
  <c r="D562" i="1"/>
  <c r="D561" i="1"/>
  <c r="D560" i="1"/>
  <c r="D559" i="1"/>
  <c r="D558" i="1"/>
  <c r="D557" i="1"/>
  <c r="D556" i="1"/>
  <c r="D554" i="1"/>
  <c r="D553" i="1"/>
  <c r="D552" i="1"/>
  <c r="D551" i="1"/>
  <c r="D550" i="1"/>
  <c r="D549" i="1"/>
  <c r="D548" i="1"/>
  <c r="D547" i="1"/>
  <c r="D546" i="1"/>
  <c r="D542" i="1"/>
  <c r="D541" i="1"/>
  <c r="D540" i="1"/>
  <c r="D539" i="1"/>
  <c r="D538" i="1"/>
  <c r="D535" i="1"/>
  <c r="D534" i="1"/>
  <c r="D533" i="1"/>
  <c r="D532" i="1"/>
  <c r="D529" i="1"/>
  <c r="D520" i="1"/>
  <c r="D519" i="1"/>
  <c r="D517" i="1"/>
  <c r="D516" i="1"/>
  <c r="D515" i="1"/>
  <c r="D514" i="1"/>
  <c r="D513" i="1"/>
  <c r="D512" i="1"/>
  <c r="D511" i="1"/>
  <c r="D510" i="1"/>
  <c r="D509" i="1"/>
  <c r="D508" i="1"/>
  <c r="D504" i="1"/>
  <c r="D503" i="1"/>
  <c r="D500" i="1"/>
  <c r="D498" i="1"/>
  <c r="D497" i="1"/>
  <c r="D496" i="1"/>
  <c r="D495" i="1"/>
  <c r="D494" i="1"/>
  <c r="D493" i="1"/>
  <c r="D492" i="1"/>
  <c r="D491" i="1"/>
  <c r="D486" i="1"/>
  <c r="D485" i="1"/>
  <c r="D484" i="1"/>
  <c r="D483" i="1"/>
  <c r="D482" i="1"/>
  <c r="D477" i="1"/>
  <c r="D473" i="1"/>
  <c r="D472" i="1"/>
  <c r="D471" i="1"/>
  <c r="D470" i="1"/>
  <c r="D466" i="1"/>
  <c r="D465" i="1"/>
  <c r="D463" i="1"/>
  <c r="D462" i="1"/>
  <c r="D460" i="1"/>
  <c r="D459" i="1"/>
  <c r="D457" i="1"/>
  <c r="D454" i="1"/>
  <c r="D453" i="1"/>
  <c r="D450" i="1"/>
  <c r="D449" i="1"/>
  <c r="D447" i="1"/>
  <c r="D443" i="1"/>
  <c r="D442" i="1"/>
  <c r="D441" i="1"/>
  <c r="D440" i="1"/>
  <c r="D439" i="1"/>
  <c r="D437" i="1"/>
  <c r="D434" i="1"/>
  <c r="D433" i="1"/>
  <c r="D429" i="1"/>
  <c r="D428" i="1"/>
  <c r="D425" i="1"/>
  <c r="D424" i="1"/>
  <c r="D423" i="1"/>
  <c r="D422" i="1"/>
  <c r="D417" i="1"/>
  <c r="D416" i="1"/>
  <c r="D415" i="1"/>
  <c r="D414" i="1"/>
  <c r="D413" i="1"/>
  <c r="D409" i="1"/>
  <c r="D408" i="1"/>
  <c r="D407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4" i="1"/>
  <c r="D373" i="1"/>
  <c r="D372" i="1"/>
  <c r="D370" i="1"/>
  <c r="D369" i="1"/>
  <c r="D368" i="1"/>
  <c r="D366" i="1"/>
  <c r="D365" i="1"/>
  <c r="D362" i="1"/>
  <c r="D361" i="1"/>
  <c r="D360" i="1"/>
  <c r="D359" i="1"/>
  <c r="D356" i="1"/>
  <c r="D354" i="1"/>
  <c r="D353" i="1"/>
  <c r="D352" i="1"/>
  <c r="D351" i="1"/>
  <c r="D349" i="1"/>
  <c r="D348" i="1"/>
  <c r="D347" i="1"/>
  <c r="D346" i="1"/>
  <c r="D345" i="1"/>
  <c r="D344" i="1"/>
  <c r="D341" i="1"/>
  <c r="D340" i="1"/>
  <c r="D338" i="1"/>
  <c r="D337" i="1"/>
  <c r="D336" i="1"/>
  <c r="D335" i="1"/>
  <c r="D334" i="1"/>
  <c r="D333" i="1"/>
  <c r="D331" i="1"/>
  <c r="D330" i="1"/>
  <c r="D328" i="1"/>
  <c r="D327" i="1"/>
  <c r="D326" i="1"/>
  <c r="D325" i="1"/>
  <c r="D324" i="1"/>
  <c r="D323" i="1"/>
  <c r="D322" i="1"/>
  <c r="D321" i="1"/>
  <c r="D320" i="1"/>
  <c r="D319" i="1"/>
  <c r="D317" i="1"/>
  <c r="D314" i="1"/>
  <c r="D311" i="1"/>
  <c r="D310" i="1"/>
  <c r="D309" i="1"/>
  <c r="D308" i="1"/>
  <c r="D307" i="1"/>
  <c r="D305" i="1"/>
  <c r="D302" i="1"/>
  <c r="D301" i="1"/>
  <c r="D300" i="1"/>
  <c r="D298" i="1"/>
  <c r="D297" i="1"/>
  <c r="D295" i="1"/>
  <c r="D293" i="1"/>
  <c r="D292" i="1"/>
  <c r="D290" i="1"/>
  <c r="D289" i="1"/>
  <c r="D288" i="1"/>
  <c r="D287" i="1"/>
  <c r="D285" i="1"/>
  <c r="D284" i="1"/>
  <c r="D283" i="1"/>
  <c r="D281" i="1"/>
  <c r="D280" i="1"/>
  <c r="D279" i="1"/>
  <c r="D278" i="1"/>
  <c r="D277" i="1"/>
  <c r="D276" i="1"/>
  <c r="D275" i="1"/>
  <c r="D274" i="1"/>
  <c r="D273" i="1"/>
  <c r="D272" i="1"/>
  <c r="D269" i="1"/>
  <c r="D267" i="1"/>
  <c r="D266" i="1"/>
  <c r="D265" i="1"/>
  <c r="D264" i="1"/>
  <c r="D262" i="1"/>
  <c r="D261" i="1"/>
  <c r="D260" i="1"/>
  <c r="D259" i="1"/>
  <c r="D258" i="1"/>
  <c r="D257" i="1"/>
  <c r="D256" i="1"/>
  <c r="D253" i="1"/>
  <c r="D252" i="1"/>
  <c r="D251" i="1"/>
  <c r="D249" i="1"/>
  <c r="D248" i="1"/>
  <c r="D247" i="1"/>
  <c r="D246" i="1"/>
  <c r="D242" i="1"/>
  <c r="D241" i="1"/>
  <c r="D238" i="1"/>
  <c r="D236" i="1"/>
  <c r="D235" i="1"/>
  <c r="D234" i="1"/>
  <c r="D232" i="1"/>
  <c r="D230" i="1"/>
  <c r="D229" i="1"/>
  <c r="D228" i="1"/>
  <c r="D227" i="1"/>
  <c r="D226" i="1"/>
  <c r="D225" i="1"/>
  <c r="D224" i="1"/>
  <c r="D223" i="1"/>
  <c r="D222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3" i="1"/>
  <c r="D202" i="1"/>
  <c r="D201" i="1"/>
  <c r="D199" i="1"/>
  <c r="D197" i="1"/>
  <c r="D196" i="1"/>
  <c r="D195" i="1"/>
  <c r="D193" i="1"/>
  <c r="D192" i="1"/>
  <c r="D190" i="1"/>
  <c r="D189" i="1"/>
  <c r="D188" i="1"/>
  <c r="D187" i="1"/>
  <c r="D182" i="1"/>
  <c r="D181" i="1"/>
  <c r="D180" i="1"/>
  <c r="D177" i="1"/>
  <c r="D176" i="1"/>
  <c r="D175" i="1"/>
  <c r="D174" i="1"/>
  <c r="D173" i="1"/>
  <c r="D172" i="1"/>
  <c r="D171" i="1"/>
  <c r="D170" i="1"/>
  <c r="D169" i="1"/>
  <c r="D167" i="1"/>
  <c r="D165" i="1"/>
  <c r="D161" i="1"/>
  <c r="D160" i="1"/>
  <c r="D159" i="1"/>
  <c r="D158" i="1"/>
  <c r="D157" i="1"/>
  <c r="D156" i="1"/>
  <c r="D155" i="1"/>
  <c r="D154" i="1"/>
  <c r="D153" i="1"/>
  <c r="D151" i="1"/>
  <c r="D150" i="1"/>
  <c r="D149" i="1"/>
  <c r="D148" i="1"/>
  <c r="D147" i="1"/>
  <c r="D146" i="1"/>
  <c r="D145" i="1"/>
  <c r="D144" i="1"/>
  <c r="D143" i="1"/>
  <c r="D142" i="1"/>
  <c r="D140" i="1"/>
  <c r="D139" i="1"/>
  <c r="D138" i="1"/>
  <c r="D137" i="1"/>
  <c r="D136" i="1"/>
  <c r="D135" i="1"/>
  <c r="D134" i="1"/>
  <c r="D133" i="1"/>
  <c r="D132" i="1"/>
  <c r="D131" i="1"/>
  <c r="D130" i="1"/>
  <c r="D127" i="1"/>
  <c r="D123" i="1"/>
  <c r="D121" i="1"/>
  <c r="D119" i="1"/>
  <c r="D118" i="1"/>
  <c r="D117" i="1"/>
  <c r="D116" i="1"/>
  <c r="D115" i="1"/>
  <c r="D113" i="1"/>
  <c r="D112" i="1"/>
  <c r="D109" i="1"/>
  <c r="D107" i="1"/>
  <c r="D106" i="1"/>
  <c r="D103" i="1"/>
  <c r="D101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4" i="1"/>
  <c r="D83" i="1"/>
  <c r="D82" i="1"/>
  <c r="D81" i="1"/>
  <c r="D80" i="1"/>
  <c r="D79" i="1"/>
  <c r="D78" i="1"/>
  <c r="D77" i="1"/>
  <c r="D76" i="1"/>
  <c r="D75" i="1"/>
  <c r="D74" i="1"/>
  <c r="D71" i="1"/>
  <c r="D70" i="1"/>
  <c r="D68" i="1"/>
  <c r="D67" i="1"/>
  <c r="D66" i="1"/>
  <c r="D64" i="1"/>
  <c r="D63" i="1"/>
  <c r="D62" i="1"/>
  <c r="D61" i="1"/>
  <c r="D60" i="1"/>
  <c r="D59" i="1"/>
  <c r="D56" i="1"/>
  <c r="D55" i="1"/>
  <c r="D54" i="1"/>
  <c r="D53" i="1"/>
  <c r="D50" i="1"/>
  <c r="D46" i="1"/>
  <c r="D45" i="1"/>
  <c r="D44" i="1"/>
  <c r="D42" i="1"/>
  <c r="D41" i="1"/>
  <c r="D40" i="1"/>
  <c r="D39" i="1"/>
  <c r="D36" i="1"/>
  <c r="D35" i="1"/>
  <c r="D34" i="1"/>
  <c r="D33" i="1"/>
  <c r="D32" i="1"/>
  <c r="D31" i="1"/>
  <c r="D30" i="1"/>
  <c r="D29" i="1"/>
  <c r="D26" i="1"/>
  <c r="D25" i="1"/>
  <c r="D24" i="1"/>
  <c r="D22" i="1"/>
  <c r="D21" i="1"/>
  <c r="D20" i="1"/>
  <c r="D18" i="1"/>
  <c r="D16" i="1"/>
  <c r="D15" i="1"/>
  <c r="D14" i="1"/>
  <c r="D13" i="1"/>
  <c r="D12" i="1"/>
  <c r="D11" i="1"/>
  <c r="D10" i="1"/>
  <c r="D9" i="1"/>
  <c r="D8" i="1"/>
  <c r="D7" i="1"/>
  <c r="D6" i="1"/>
  <c r="D5" i="1"/>
  <c r="D2863" i="1" l="1"/>
</calcChain>
</file>

<file path=xl/sharedStrings.xml><?xml version="1.0" encoding="utf-8"?>
<sst xmlns="http://schemas.openxmlformats.org/spreadsheetml/2006/main" count="224" uniqueCount="120">
  <si>
    <t>Информация о наличие объема свободной для технологического присоединения потребителей трасформаторной мощности по ТП, РП 
6-10/0,4 кВ АО "СПГЭС"</t>
  </si>
  <si>
    <t>Наименование ТП/РП</t>
  </si>
  <si>
    <t>№ трансформатора</t>
  </si>
  <si>
    <t>Номинальная мощность трансформатора
кВА</t>
  </si>
  <si>
    <t>Объем свободной трансформаторной мощности кВт</t>
  </si>
  <si>
    <t>324А</t>
  </si>
  <si>
    <t>отключен</t>
  </si>
  <si>
    <t>509А</t>
  </si>
  <si>
    <t xml:space="preserve"> </t>
  </si>
  <si>
    <t>АВАНГАРД</t>
  </si>
  <si>
    <t>Азинский</t>
  </si>
  <si>
    <t>Авиатор</t>
  </si>
  <si>
    <t>Алексеевский</t>
  </si>
  <si>
    <t>Антонов</t>
  </si>
  <si>
    <t>Арбатский</t>
  </si>
  <si>
    <t>Аткарский</t>
  </si>
  <si>
    <t>АТС</t>
  </si>
  <si>
    <t>Бабушкин</t>
  </si>
  <si>
    <t>Базовый</t>
  </si>
  <si>
    <t>Батавин</t>
  </si>
  <si>
    <t>Безымянный</t>
  </si>
  <si>
    <t>Белоглинский</t>
  </si>
  <si>
    <t>Березка</t>
  </si>
  <si>
    <t>Братиславский</t>
  </si>
  <si>
    <t>Буровой</t>
  </si>
  <si>
    <t xml:space="preserve">ВЕСЕННИЙ </t>
  </si>
  <si>
    <t>Волгарь</t>
  </si>
  <si>
    <t>Волжский</t>
  </si>
  <si>
    <t>Вышивка</t>
  </si>
  <si>
    <t>Гвардейский</t>
  </si>
  <si>
    <t>Горный</t>
  </si>
  <si>
    <t>Гусельский</t>
  </si>
  <si>
    <t>Дачный</t>
  </si>
  <si>
    <t>Диагностика</t>
  </si>
  <si>
    <t>Динамовский</t>
  </si>
  <si>
    <t>Док</t>
  </si>
  <si>
    <t>ДУБКИ</t>
  </si>
  <si>
    <t>ЁЛОЧКИ</t>
  </si>
  <si>
    <t>Елшанский</t>
  </si>
  <si>
    <t>Жасмин</t>
  </si>
  <si>
    <t>Жуковский</t>
  </si>
  <si>
    <t>Заводской</t>
  </si>
  <si>
    <t>Завокзальный</t>
  </si>
  <si>
    <t>Знание</t>
  </si>
  <si>
    <t>Ипподромный</t>
  </si>
  <si>
    <t>КАРДАН</t>
  </si>
  <si>
    <t>Картфабрика</t>
  </si>
  <si>
    <t>КИРПИЧНЫЙ</t>
  </si>
  <si>
    <t>Клинический</t>
  </si>
  <si>
    <t>Кожзавод</t>
  </si>
  <si>
    <t>Комсомольский</t>
  </si>
  <si>
    <t>Корт</t>
  </si>
  <si>
    <t>Красноарм</t>
  </si>
  <si>
    <t>Крекинг</t>
  </si>
  <si>
    <t>Крымский</t>
  </si>
  <si>
    <t>Кузнечный</t>
  </si>
  <si>
    <t>Лунный</t>
  </si>
  <si>
    <t>Лучевой</t>
  </si>
  <si>
    <t>Магистральный</t>
  </si>
  <si>
    <t>Маяк</t>
  </si>
  <si>
    <t>Метизный</t>
  </si>
  <si>
    <t>Московский</t>
  </si>
  <si>
    <t>Мост</t>
  </si>
  <si>
    <t>Нагорный</t>
  </si>
  <si>
    <t>Новоастраханский</t>
  </si>
  <si>
    <t>НОВОСОКОЛОВОГОРСКИЙ</t>
  </si>
  <si>
    <t>Обуховский</t>
  </si>
  <si>
    <t>Общепит</t>
  </si>
  <si>
    <t>Одесский</t>
  </si>
  <si>
    <t>Октябрьский</t>
  </si>
  <si>
    <t>Панфиловск</t>
  </si>
  <si>
    <t>Первомайский</t>
  </si>
  <si>
    <t>ПИТОМНИК</t>
  </si>
  <si>
    <t>Победа</t>
  </si>
  <si>
    <t>Поливановский</t>
  </si>
  <si>
    <t>Политехнический</t>
  </si>
  <si>
    <t>Полковой</t>
  </si>
  <si>
    <t>Придорожный</t>
  </si>
  <si>
    <t>Программист</t>
  </si>
  <si>
    <t>Проммаш</t>
  </si>
  <si>
    <t>Пролетарский</t>
  </si>
  <si>
    <t>Пугачевский</t>
  </si>
  <si>
    <t>Пионерский</t>
  </si>
  <si>
    <t>Рабочий</t>
  </si>
  <si>
    <t>Репин</t>
  </si>
  <si>
    <t>Рижский</t>
  </si>
  <si>
    <t>РП-606</t>
  </si>
  <si>
    <t>РП-608</t>
  </si>
  <si>
    <t>РП-615</t>
  </si>
  <si>
    <t>РП-633</t>
  </si>
  <si>
    <t>Самолет</t>
  </si>
  <si>
    <t>Саратов</t>
  </si>
  <si>
    <t>Сеноман</t>
  </si>
  <si>
    <t>Силикатный</t>
  </si>
  <si>
    <t>Симбирский</t>
  </si>
  <si>
    <t>Сокурский</t>
  </si>
  <si>
    <t>Солнечный</t>
  </si>
  <si>
    <t>Спорт</t>
  </si>
  <si>
    <t>Станок</t>
  </si>
  <si>
    <t>Станционный</t>
  </si>
  <si>
    <t>Степной</t>
  </si>
  <si>
    <t>Стрелка</t>
  </si>
  <si>
    <t>Строитель</t>
  </si>
  <si>
    <t>Тарховский</t>
  </si>
  <si>
    <t>Тверской</t>
  </si>
  <si>
    <t>Техстекло</t>
  </si>
  <si>
    <t>Топольчанский</t>
  </si>
  <si>
    <t>Тракторный</t>
  </si>
  <si>
    <t>Трудовой</t>
  </si>
  <si>
    <t>Тюльпан</t>
  </si>
  <si>
    <t>Фрегат</t>
  </si>
  <si>
    <t>Фрунзенский</t>
  </si>
  <si>
    <t>Химический</t>
  </si>
  <si>
    <t>Центральный</t>
  </si>
  <si>
    <t>Чернышевский</t>
  </si>
  <si>
    <t>Школьный</t>
  </si>
  <si>
    <t>Экономический</t>
  </si>
  <si>
    <t>Элита</t>
  </si>
  <si>
    <t>ЮБИЛЕЙНЫЙ</t>
  </si>
  <si>
    <t>Южный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</si>
</sst>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49" fontId="2" fillId="0" borderId="2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0" fillId="0" borderId="3" xfId="0" applyBorder="1" applyAlignment="1">
      <alignment horizontal="center" vertical="center" wrapText="1"/>
    </xf>
    <xf numFmtId="0" fontId="2" fillId="0" borderId="4" xfId="0" applyFont="1" applyBorder="1" applyAlignment="1" applyProtection="1">
      <alignment horizontal="center" vertical="center" shrinkToFit="1"/>
      <protection locked="0"/>
    </xf>
    <xf numFmtId="0" fontId="2" fillId="0" borderId="5" xfId="0" applyFont="1" applyBorder="1" applyAlignment="1" applyProtection="1">
      <alignment horizontal="center" vertical="center" shrinkToFit="1"/>
      <protection locked="0"/>
    </xf>
    <xf numFmtId="0" fontId="2" fillId="0" borderId="6" xfId="0" applyFont="1" applyBorder="1" applyAlignment="1" applyProtection="1">
      <alignment horizontal="center" vertical="center" shrinkToFit="1"/>
      <protection locked="0"/>
    </xf>
    <xf numFmtId="1" fontId="2" fillId="0" borderId="6" xfId="0" applyNumberFormat="1" applyFont="1" applyBorder="1" applyAlignment="1" applyProtection="1">
      <alignment horizontal="center" vertical="center" shrinkToFit="1"/>
      <protection locked="0"/>
    </xf>
    <xf numFmtId="0" fontId="2" fillId="0" borderId="7" xfId="0" applyFont="1" applyBorder="1" applyAlignment="1" applyProtection="1">
      <alignment horizontal="center" vertical="center" shrinkToFit="1"/>
      <protection locked="0"/>
    </xf>
    <xf numFmtId="0" fontId="2" fillId="0" borderId="8" xfId="0" applyFont="1" applyBorder="1" applyAlignment="1" applyProtection="1">
      <alignment horizontal="center" vertical="center" shrinkToFit="1"/>
      <protection locked="0"/>
    </xf>
    <xf numFmtId="0" fontId="2" fillId="0" borderId="9" xfId="0" applyFont="1" applyBorder="1" applyAlignment="1" applyProtection="1">
      <alignment horizontal="center" vertical="center" shrinkToFit="1"/>
      <protection locked="0"/>
    </xf>
    <xf numFmtId="1" fontId="2" fillId="0" borderId="9" xfId="0" applyNumberFormat="1" applyFont="1" applyBorder="1" applyAlignment="1" applyProtection="1">
      <alignment horizontal="center" vertical="center" shrinkToFit="1"/>
      <protection locked="0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 shrinkToFit="1"/>
      <protection locked="0"/>
    </xf>
    <xf numFmtId="0" fontId="4" fillId="0" borderId="8" xfId="0" applyFont="1" applyBorder="1" applyAlignment="1" applyProtection="1">
      <alignment horizontal="center" vertical="center" shrinkToFit="1"/>
      <protection locked="0"/>
    </xf>
    <xf numFmtId="0" fontId="4" fillId="0" borderId="9" xfId="0" applyFont="1" applyBorder="1" applyAlignment="1" applyProtection="1">
      <alignment horizontal="center" vertical="center" shrinkToFit="1"/>
      <protection locked="0"/>
    </xf>
    <xf numFmtId="1" fontId="2" fillId="0" borderId="0" xfId="0" applyNumberFormat="1" applyFont="1" applyAlignment="1" applyProtection="1">
      <alignment horizontal="center" vertical="center" shrinkToFit="1"/>
      <protection locked="0"/>
    </xf>
    <xf numFmtId="0" fontId="2" fillId="0" borderId="4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2" xfId="0" applyFont="1" applyBorder="1" applyAlignment="1" applyProtection="1">
      <alignment horizontal="center" vertical="center" shrinkToFit="1"/>
      <protection locked="0"/>
    </xf>
    <xf numFmtId="0" fontId="2" fillId="0" borderId="10" xfId="0" applyFont="1" applyBorder="1" applyAlignment="1" applyProtection="1">
      <alignment horizontal="center" vertical="center" shrinkToFit="1"/>
      <protection locked="0"/>
    </xf>
    <xf numFmtId="0" fontId="2" fillId="0" borderId="11" xfId="0" applyFont="1" applyBorder="1" applyAlignment="1" applyProtection="1">
      <alignment horizontal="center" vertical="center" shrinkToFit="1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shrinkToFit="1"/>
      <protection locked="0"/>
    </xf>
    <xf numFmtId="0" fontId="4" fillId="0" borderId="11" xfId="0" applyFont="1" applyBorder="1" applyAlignment="1" applyProtection="1">
      <alignment horizontal="center" vertical="center" shrinkToFit="1"/>
      <protection locked="0"/>
    </xf>
    <xf numFmtId="0" fontId="2" fillId="0" borderId="12" xfId="0" applyFont="1" applyBorder="1" applyAlignment="1" applyProtection="1">
      <alignment horizontal="center" vertical="center" shrinkToFit="1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 vertical="center" shrinkToFit="1"/>
      <protection locked="0"/>
    </xf>
    <xf numFmtId="1" fontId="2" fillId="0" borderId="13" xfId="0" applyNumberFormat="1" applyFont="1" applyBorder="1" applyAlignment="1" applyProtection="1">
      <alignment horizontal="center" vertical="center" shrinkToFit="1"/>
      <protection locked="0"/>
    </xf>
    <xf numFmtId="1" fontId="2" fillId="0" borderId="9" xfId="0" applyNumberFormat="1" applyFont="1" applyBorder="1" applyAlignment="1" applyProtection="1">
      <alignment horizontal="center"/>
      <protection locked="0"/>
    </xf>
    <xf numFmtId="0" fontId="2" fillId="0" borderId="7" xfId="0" applyFont="1" applyBorder="1" applyAlignment="1">
      <alignment horizontal="center" shrinkToFit="1"/>
    </xf>
    <xf numFmtId="0" fontId="2" fillId="0" borderId="8" xfId="0" applyFont="1" applyBorder="1" applyAlignment="1">
      <alignment horizontal="center"/>
    </xf>
    <xf numFmtId="0" fontId="2" fillId="0" borderId="7" xfId="0" applyFont="1" applyBorder="1" applyAlignment="1" applyProtection="1">
      <alignment horizontal="center" shrinkToFit="1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1" fontId="2" fillId="0" borderId="0" xfId="0" applyNumberFormat="1" applyFont="1" applyAlignment="1" applyProtection="1">
      <alignment horizontal="center"/>
      <protection locked="0"/>
    </xf>
    <xf numFmtId="1" fontId="3" fillId="0" borderId="0" xfId="0" applyNumberFormat="1" applyFont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F8C96-82E7-48AF-81CE-99C06AF8107F}">
  <dimension ref="A1:D2863"/>
  <sheetViews>
    <sheetView tabSelected="1" topLeftCell="A2834" zoomScale="145" zoomScaleNormal="145" workbookViewId="0">
      <selection activeCell="E2774" sqref="E1:E1048576"/>
    </sheetView>
  </sheetViews>
  <sheetFormatPr defaultRowHeight="12.75" x14ac:dyDescent="0.2"/>
  <cols>
    <col min="1" max="1" width="22.28515625" style="51" customWidth="1"/>
    <col min="2" max="2" width="22.7109375" style="52" customWidth="1"/>
    <col min="3" max="3" width="24.42578125" style="51" customWidth="1"/>
    <col min="4" max="4" width="27.28515625" style="54" customWidth="1"/>
    <col min="256" max="256" width="22.28515625" customWidth="1"/>
    <col min="257" max="257" width="22.7109375" customWidth="1"/>
    <col min="258" max="258" width="24.42578125" customWidth="1"/>
    <col min="259" max="259" width="27.28515625" customWidth="1"/>
    <col min="512" max="512" width="22.28515625" customWidth="1"/>
    <col min="513" max="513" width="22.7109375" customWidth="1"/>
    <col min="514" max="514" width="24.42578125" customWidth="1"/>
    <col min="515" max="515" width="27.28515625" customWidth="1"/>
    <col min="768" max="768" width="22.28515625" customWidth="1"/>
    <col min="769" max="769" width="22.7109375" customWidth="1"/>
    <col min="770" max="770" width="24.42578125" customWidth="1"/>
    <col min="771" max="771" width="27.28515625" customWidth="1"/>
    <col min="1024" max="1024" width="22.28515625" customWidth="1"/>
    <col min="1025" max="1025" width="22.7109375" customWidth="1"/>
    <col min="1026" max="1026" width="24.42578125" customWidth="1"/>
    <col min="1027" max="1027" width="27.28515625" customWidth="1"/>
    <col min="1280" max="1280" width="22.28515625" customWidth="1"/>
    <col min="1281" max="1281" width="22.7109375" customWidth="1"/>
    <col min="1282" max="1282" width="24.42578125" customWidth="1"/>
    <col min="1283" max="1283" width="27.28515625" customWidth="1"/>
    <col min="1536" max="1536" width="22.28515625" customWidth="1"/>
    <col min="1537" max="1537" width="22.7109375" customWidth="1"/>
    <col min="1538" max="1538" width="24.42578125" customWidth="1"/>
    <col min="1539" max="1539" width="27.28515625" customWidth="1"/>
    <col min="1792" max="1792" width="22.28515625" customWidth="1"/>
    <col min="1793" max="1793" width="22.7109375" customWidth="1"/>
    <col min="1794" max="1794" width="24.42578125" customWidth="1"/>
    <col min="1795" max="1795" width="27.28515625" customWidth="1"/>
    <col min="2048" max="2048" width="22.28515625" customWidth="1"/>
    <col min="2049" max="2049" width="22.7109375" customWidth="1"/>
    <col min="2050" max="2050" width="24.42578125" customWidth="1"/>
    <col min="2051" max="2051" width="27.28515625" customWidth="1"/>
    <col min="2304" max="2304" width="22.28515625" customWidth="1"/>
    <col min="2305" max="2305" width="22.7109375" customWidth="1"/>
    <col min="2306" max="2306" width="24.42578125" customWidth="1"/>
    <col min="2307" max="2307" width="27.28515625" customWidth="1"/>
    <col min="2560" max="2560" width="22.28515625" customWidth="1"/>
    <col min="2561" max="2561" width="22.7109375" customWidth="1"/>
    <col min="2562" max="2562" width="24.42578125" customWidth="1"/>
    <col min="2563" max="2563" width="27.28515625" customWidth="1"/>
    <col min="2816" max="2816" width="22.28515625" customWidth="1"/>
    <col min="2817" max="2817" width="22.7109375" customWidth="1"/>
    <col min="2818" max="2818" width="24.42578125" customWidth="1"/>
    <col min="2819" max="2819" width="27.28515625" customWidth="1"/>
    <col min="3072" max="3072" width="22.28515625" customWidth="1"/>
    <col min="3073" max="3073" width="22.7109375" customWidth="1"/>
    <col min="3074" max="3074" width="24.42578125" customWidth="1"/>
    <col min="3075" max="3075" width="27.28515625" customWidth="1"/>
    <col min="3328" max="3328" width="22.28515625" customWidth="1"/>
    <col min="3329" max="3329" width="22.7109375" customWidth="1"/>
    <col min="3330" max="3330" width="24.42578125" customWidth="1"/>
    <col min="3331" max="3331" width="27.28515625" customWidth="1"/>
    <col min="3584" max="3584" width="22.28515625" customWidth="1"/>
    <col min="3585" max="3585" width="22.7109375" customWidth="1"/>
    <col min="3586" max="3586" width="24.42578125" customWidth="1"/>
    <col min="3587" max="3587" width="27.28515625" customWidth="1"/>
    <col min="3840" max="3840" width="22.28515625" customWidth="1"/>
    <col min="3841" max="3841" width="22.7109375" customWidth="1"/>
    <col min="3842" max="3842" width="24.42578125" customWidth="1"/>
    <col min="3843" max="3843" width="27.28515625" customWidth="1"/>
    <col min="4096" max="4096" width="22.28515625" customWidth="1"/>
    <col min="4097" max="4097" width="22.7109375" customWidth="1"/>
    <col min="4098" max="4098" width="24.42578125" customWidth="1"/>
    <col min="4099" max="4099" width="27.28515625" customWidth="1"/>
    <col min="4352" max="4352" width="22.28515625" customWidth="1"/>
    <col min="4353" max="4353" width="22.7109375" customWidth="1"/>
    <col min="4354" max="4354" width="24.42578125" customWidth="1"/>
    <col min="4355" max="4355" width="27.28515625" customWidth="1"/>
    <col min="4608" max="4608" width="22.28515625" customWidth="1"/>
    <col min="4609" max="4609" width="22.7109375" customWidth="1"/>
    <col min="4610" max="4610" width="24.42578125" customWidth="1"/>
    <col min="4611" max="4611" width="27.28515625" customWidth="1"/>
    <col min="4864" max="4864" width="22.28515625" customWidth="1"/>
    <col min="4865" max="4865" width="22.7109375" customWidth="1"/>
    <col min="4866" max="4866" width="24.42578125" customWidth="1"/>
    <col min="4867" max="4867" width="27.28515625" customWidth="1"/>
    <col min="5120" max="5120" width="22.28515625" customWidth="1"/>
    <col min="5121" max="5121" width="22.7109375" customWidth="1"/>
    <col min="5122" max="5122" width="24.42578125" customWidth="1"/>
    <col min="5123" max="5123" width="27.28515625" customWidth="1"/>
    <col min="5376" max="5376" width="22.28515625" customWidth="1"/>
    <col min="5377" max="5377" width="22.7109375" customWidth="1"/>
    <col min="5378" max="5378" width="24.42578125" customWidth="1"/>
    <col min="5379" max="5379" width="27.28515625" customWidth="1"/>
    <col min="5632" max="5632" width="22.28515625" customWidth="1"/>
    <col min="5633" max="5633" width="22.7109375" customWidth="1"/>
    <col min="5634" max="5634" width="24.42578125" customWidth="1"/>
    <col min="5635" max="5635" width="27.28515625" customWidth="1"/>
    <col min="5888" max="5888" width="22.28515625" customWidth="1"/>
    <col min="5889" max="5889" width="22.7109375" customWidth="1"/>
    <col min="5890" max="5890" width="24.42578125" customWidth="1"/>
    <col min="5891" max="5891" width="27.28515625" customWidth="1"/>
    <col min="6144" max="6144" width="22.28515625" customWidth="1"/>
    <col min="6145" max="6145" width="22.7109375" customWidth="1"/>
    <col min="6146" max="6146" width="24.42578125" customWidth="1"/>
    <col min="6147" max="6147" width="27.28515625" customWidth="1"/>
    <col min="6400" max="6400" width="22.28515625" customWidth="1"/>
    <col min="6401" max="6401" width="22.7109375" customWidth="1"/>
    <col min="6402" max="6402" width="24.42578125" customWidth="1"/>
    <col min="6403" max="6403" width="27.28515625" customWidth="1"/>
    <col min="6656" max="6656" width="22.28515625" customWidth="1"/>
    <col min="6657" max="6657" width="22.7109375" customWidth="1"/>
    <col min="6658" max="6658" width="24.42578125" customWidth="1"/>
    <col min="6659" max="6659" width="27.28515625" customWidth="1"/>
    <col min="6912" max="6912" width="22.28515625" customWidth="1"/>
    <col min="6913" max="6913" width="22.7109375" customWidth="1"/>
    <col min="6914" max="6914" width="24.42578125" customWidth="1"/>
    <col min="6915" max="6915" width="27.28515625" customWidth="1"/>
    <col min="7168" max="7168" width="22.28515625" customWidth="1"/>
    <col min="7169" max="7169" width="22.7109375" customWidth="1"/>
    <col min="7170" max="7170" width="24.42578125" customWidth="1"/>
    <col min="7171" max="7171" width="27.28515625" customWidth="1"/>
    <col min="7424" max="7424" width="22.28515625" customWidth="1"/>
    <col min="7425" max="7425" width="22.7109375" customWidth="1"/>
    <col min="7426" max="7426" width="24.42578125" customWidth="1"/>
    <col min="7427" max="7427" width="27.28515625" customWidth="1"/>
    <col min="7680" max="7680" width="22.28515625" customWidth="1"/>
    <col min="7681" max="7681" width="22.7109375" customWidth="1"/>
    <col min="7682" max="7682" width="24.42578125" customWidth="1"/>
    <col min="7683" max="7683" width="27.28515625" customWidth="1"/>
    <col min="7936" max="7936" width="22.28515625" customWidth="1"/>
    <col min="7937" max="7937" width="22.7109375" customWidth="1"/>
    <col min="7938" max="7938" width="24.42578125" customWidth="1"/>
    <col min="7939" max="7939" width="27.28515625" customWidth="1"/>
    <col min="8192" max="8192" width="22.28515625" customWidth="1"/>
    <col min="8193" max="8193" width="22.7109375" customWidth="1"/>
    <col min="8194" max="8194" width="24.42578125" customWidth="1"/>
    <col min="8195" max="8195" width="27.28515625" customWidth="1"/>
    <col min="8448" max="8448" width="22.28515625" customWidth="1"/>
    <col min="8449" max="8449" width="22.7109375" customWidth="1"/>
    <col min="8450" max="8450" width="24.42578125" customWidth="1"/>
    <col min="8451" max="8451" width="27.28515625" customWidth="1"/>
    <col min="8704" max="8704" width="22.28515625" customWidth="1"/>
    <col min="8705" max="8705" width="22.7109375" customWidth="1"/>
    <col min="8706" max="8706" width="24.42578125" customWidth="1"/>
    <col min="8707" max="8707" width="27.28515625" customWidth="1"/>
    <col min="8960" max="8960" width="22.28515625" customWidth="1"/>
    <col min="8961" max="8961" width="22.7109375" customWidth="1"/>
    <col min="8962" max="8962" width="24.42578125" customWidth="1"/>
    <col min="8963" max="8963" width="27.28515625" customWidth="1"/>
    <col min="9216" max="9216" width="22.28515625" customWidth="1"/>
    <col min="9217" max="9217" width="22.7109375" customWidth="1"/>
    <col min="9218" max="9218" width="24.42578125" customWidth="1"/>
    <col min="9219" max="9219" width="27.28515625" customWidth="1"/>
    <col min="9472" max="9472" width="22.28515625" customWidth="1"/>
    <col min="9473" max="9473" width="22.7109375" customWidth="1"/>
    <col min="9474" max="9474" width="24.42578125" customWidth="1"/>
    <col min="9475" max="9475" width="27.28515625" customWidth="1"/>
    <col min="9728" max="9728" width="22.28515625" customWidth="1"/>
    <col min="9729" max="9729" width="22.7109375" customWidth="1"/>
    <col min="9730" max="9730" width="24.42578125" customWidth="1"/>
    <col min="9731" max="9731" width="27.28515625" customWidth="1"/>
    <col min="9984" max="9984" width="22.28515625" customWidth="1"/>
    <col min="9985" max="9985" width="22.7109375" customWidth="1"/>
    <col min="9986" max="9986" width="24.42578125" customWidth="1"/>
    <col min="9987" max="9987" width="27.28515625" customWidth="1"/>
    <col min="10240" max="10240" width="22.28515625" customWidth="1"/>
    <col min="10241" max="10241" width="22.7109375" customWidth="1"/>
    <col min="10242" max="10242" width="24.42578125" customWidth="1"/>
    <col min="10243" max="10243" width="27.28515625" customWidth="1"/>
    <col min="10496" max="10496" width="22.28515625" customWidth="1"/>
    <col min="10497" max="10497" width="22.7109375" customWidth="1"/>
    <col min="10498" max="10498" width="24.42578125" customWidth="1"/>
    <col min="10499" max="10499" width="27.28515625" customWidth="1"/>
    <col min="10752" max="10752" width="22.28515625" customWidth="1"/>
    <col min="10753" max="10753" width="22.7109375" customWidth="1"/>
    <col min="10754" max="10754" width="24.42578125" customWidth="1"/>
    <col min="10755" max="10755" width="27.28515625" customWidth="1"/>
    <col min="11008" max="11008" width="22.28515625" customWidth="1"/>
    <col min="11009" max="11009" width="22.7109375" customWidth="1"/>
    <col min="11010" max="11010" width="24.42578125" customWidth="1"/>
    <col min="11011" max="11011" width="27.28515625" customWidth="1"/>
    <col min="11264" max="11264" width="22.28515625" customWidth="1"/>
    <col min="11265" max="11265" width="22.7109375" customWidth="1"/>
    <col min="11266" max="11266" width="24.42578125" customWidth="1"/>
    <col min="11267" max="11267" width="27.28515625" customWidth="1"/>
    <col min="11520" max="11520" width="22.28515625" customWidth="1"/>
    <col min="11521" max="11521" width="22.7109375" customWidth="1"/>
    <col min="11522" max="11522" width="24.42578125" customWidth="1"/>
    <col min="11523" max="11523" width="27.28515625" customWidth="1"/>
    <col min="11776" max="11776" width="22.28515625" customWidth="1"/>
    <col min="11777" max="11777" width="22.7109375" customWidth="1"/>
    <col min="11778" max="11778" width="24.42578125" customWidth="1"/>
    <col min="11779" max="11779" width="27.28515625" customWidth="1"/>
    <col min="12032" max="12032" width="22.28515625" customWidth="1"/>
    <col min="12033" max="12033" width="22.7109375" customWidth="1"/>
    <col min="12034" max="12034" width="24.42578125" customWidth="1"/>
    <col min="12035" max="12035" width="27.28515625" customWidth="1"/>
    <col min="12288" max="12288" width="22.28515625" customWidth="1"/>
    <col min="12289" max="12289" width="22.7109375" customWidth="1"/>
    <col min="12290" max="12290" width="24.42578125" customWidth="1"/>
    <col min="12291" max="12291" width="27.28515625" customWidth="1"/>
    <col min="12544" max="12544" width="22.28515625" customWidth="1"/>
    <col min="12545" max="12545" width="22.7109375" customWidth="1"/>
    <col min="12546" max="12546" width="24.42578125" customWidth="1"/>
    <col min="12547" max="12547" width="27.28515625" customWidth="1"/>
    <col min="12800" max="12800" width="22.28515625" customWidth="1"/>
    <col min="12801" max="12801" width="22.7109375" customWidth="1"/>
    <col min="12802" max="12802" width="24.42578125" customWidth="1"/>
    <col min="12803" max="12803" width="27.28515625" customWidth="1"/>
    <col min="13056" max="13056" width="22.28515625" customWidth="1"/>
    <col min="13057" max="13057" width="22.7109375" customWidth="1"/>
    <col min="13058" max="13058" width="24.42578125" customWidth="1"/>
    <col min="13059" max="13059" width="27.28515625" customWidth="1"/>
    <col min="13312" max="13312" width="22.28515625" customWidth="1"/>
    <col min="13313" max="13313" width="22.7109375" customWidth="1"/>
    <col min="13314" max="13314" width="24.42578125" customWidth="1"/>
    <col min="13315" max="13315" width="27.28515625" customWidth="1"/>
    <col min="13568" max="13568" width="22.28515625" customWidth="1"/>
    <col min="13569" max="13569" width="22.7109375" customWidth="1"/>
    <col min="13570" max="13570" width="24.42578125" customWidth="1"/>
    <col min="13571" max="13571" width="27.28515625" customWidth="1"/>
    <col min="13824" max="13824" width="22.28515625" customWidth="1"/>
    <col min="13825" max="13825" width="22.7109375" customWidth="1"/>
    <col min="13826" max="13826" width="24.42578125" customWidth="1"/>
    <col min="13827" max="13827" width="27.28515625" customWidth="1"/>
    <col min="14080" max="14080" width="22.28515625" customWidth="1"/>
    <col min="14081" max="14081" width="22.7109375" customWidth="1"/>
    <col min="14082" max="14082" width="24.42578125" customWidth="1"/>
    <col min="14083" max="14083" width="27.28515625" customWidth="1"/>
    <col min="14336" max="14336" width="22.28515625" customWidth="1"/>
    <col min="14337" max="14337" width="22.7109375" customWidth="1"/>
    <col min="14338" max="14338" width="24.42578125" customWidth="1"/>
    <col min="14339" max="14339" width="27.28515625" customWidth="1"/>
    <col min="14592" max="14592" width="22.28515625" customWidth="1"/>
    <col min="14593" max="14593" width="22.7109375" customWidth="1"/>
    <col min="14594" max="14594" width="24.42578125" customWidth="1"/>
    <col min="14595" max="14595" width="27.28515625" customWidth="1"/>
    <col min="14848" max="14848" width="22.28515625" customWidth="1"/>
    <col min="14849" max="14849" width="22.7109375" customWidth="1"/>
    <col min="14850" max="14850" width="24.42578125" customWidth="1"/>
    <col min="14851" max="14851" width="27.28515625" customWidth="1"/>
    <col min="15104" max="15104" width="22.28515625" customWidth="1"/>
    <col min="15105" max="15105" width="22.7109375" customWidth="1"/>
    <col min="15106" max="15106" width="24.42578125" customWidth="1"/>
    <col min="15107" max="15107" width="27.28515625" customWidth="1"/>
    <col min="15360" max="15360" width="22.28515625" customWidth="1"/>
    <col min="15361" max="15361" width="22.7109375" customWidth="1"/>
    <col min="15362" max="15362" width="24.42578125" customWidth="1"/>
    <col min="15363" max="15363" width="27.28515625" customWidth="1"/>
    <col min="15616" max="15616" width="22.28515625" customWidth="1"/>
    <col min="15617" max="15617" width="22.7109375" customWidth="1"/>
    <col min="15618" max="15618" width="24.42578125" customWidth="1"/>
    <col min="15619" max="15619" width="27.28515625" customWidth="1"/>
    <col min="15872" max="15872" width="22.28515625" customWidth="1"/>
    <col min="15873" max="15873" width="22.7109375" customWidth="1"/>
    <col min="15874" max="15874" width="24.42578125" customWidth="1"/>
    <col min="15875" max="15875" width="27.28515625" customWidth="1"/>
    <col min="16128" max="16128" width="22.28515625" customWidth="1"/>
    <col min="16129" max="16129" width="22.7109375" customWidth="1"/>
    <col min="16130" max="16130" width="24.42578125" customWidth="1"/>
    <col min="16131" max="16131" width="27.28515625" customWidth="1"/>
  </cols>
  <sheetData>
    <row r="1" spans="1:4" ht="51.75" customHeight="1" x14ac:dyDescent="0.2">
      <c r="A1" s="1" t="s">
        <v>0</v>
      </c>
      <c r="B1" s="2"/>
      <c r="C1" s="2"/>
      <c r="D1" s="2"/>
    </row>
    <row r="2" spans="1:4" x14ac:dyDescent="0.2">
      <c r="A2" s="3" t="s">
        <v>1</v>
      </c>
      <c r="B2" s="3" t="s">
        <v>2</v>
      </c>
      <c r="C2" s="3" t="s">
        <v>3</v>
      </c>
      <c r="D2" s="4" t="s">
        <v>4</v>
      </c>
    </row>
    <row r="3" spans="1:4" x14ac:dyDescent="0.2">
      <c r="A3" s="6"/>
      <c r="B3" s="6"/>
      <c r="C3" s="6"/>
      <c r="D3" s="7"/>
    </row>
    <row r="4" spans="1:4" x14ac:dyDescent="0.2">
      <c r="A4" s="8">
        <v>1</v>
      </c>
      <c r="B4" s="9">
        <v>1</v>
      </c>
      <c r="C4" s="10">
        <v>250</v>
      </c>
      <c r="D4" s="11">
        <v>103.03344</v>
      </c>
    </row>
    <row r="5" spans="1:4" x14ac:dyDescent="0.2">
      <c r="A5" s="12">
        <v>1</v>
      </c>
      <c r="B5" s="13">
        <v>2</v>
      </c>
      <c r="C5" s="14">
        <v>250</v>
      </c>
      <c r="D5" s="15">
        <f>86.07252-9-9-9-8.22</f>
        <v>50.852519999999998</v>
      </c>
    </row>
    <row r="6" spans="1:4" x14ac:dyDescent="0.2">
      <c r="A6" s="12">
        <v>2</v>
      </c>
      <c r="B6" s="13">
        <v>1</v>
      </c>
      <c r="C6" s="14">
        <v>400</v>
      </c>
      <c r="D6" s="15">
        <f>127.7367-8.22</f>
        <v>119.5167</v>
      </c>
    </row>
    <row r="7" spans="1:4" x14ac:dyDescent="0.2">
      <c r="A7" s="12">
        <v>2</v>
      </c>
      <c r="B7" s="13">
        <v>2</v>
      </c>
      <c r="C7" s="14">
        <v>400</v>
      </c>
      <c r="D7" s="15">
        <f>163.53213-3.6</f>
        <v>159.93213</v>
      </c>
    </row>
    <row r="8" spans="1:4" x14ac:dyDescent="0.2">
      <c r="A8" s="12">
        <v>3</v>
      </c>
      <c r="B8" s="13">
        <v>1</v>
      </c>
      <c r="C8" s="14">
        <v>630</v>
      </c>
      <c r="D8" s="15">
        <f>241-4.4-0.06-6-0.54-1.68-0.08-6</f>
        <v>222.23999999999998</v>
      </c>
    </row>
    <row r="9" spans="1:4" x14ac:dyDescent="0.2">
      <c r="A9" s="12">
        <v>3</v>
      </c>
      <c r="B9" s="13">
        <v>2</v>
      </c>
      <c r="C9" s="14">
        <v>630</v>
      </c>
      <c r="D9" s="15">
        <f>252-9</f>
        <v>243</v>
      </c>
    </row>
    <row r="10" spans="1:4" x14ac:dyDescent="0.2">
      <c r="A10" s="12">
        <v>4</v>
      </c>
      <c r="B10" s="13">
        <v>1</v>
      </c>
      <c r="C10" s="14">
        <v>320</v>
      </c>
      <c r="D10" s="15">
        <f>96.96303-24.75-5.5-9.1-8.25-5.78</f>
        <v>43.583030000000001</v>
      </c>
    </row>
    <row r="11" spans="1:4" x14ac:dyDescent="0.2">
      <c r="A11" s="12">
        <v>4</v>
      </c>
      <c r="B11" s="13">
        <v>2</v>
      </c>
      <c r="C11" s="14">
        <v>315</v>
      </c>
      <c r="D11" s="15">
        <f>136.42506-37.4</f>
        <v>99.025059999999996</v>
      </c>
    </row>
    <row r="12" spans="1:4" x14ac:dyDescent="0.2">
      <c r="A12" s="12">
        <v>5</v>
      </c>
      <c r="B12" s="13">
        <v>1</v>
      </c>
      <c r="C12" s="14">
        <v>315</v>
      </c>
      <c r="D12" s="15">
        <f>93.3078375-9-5.4-3.6-0.6-21-16.8</f>
        <v>36.907837500000014</v>
      </c>
    </row>
    <row r="13" spans="1:4" x14ac:dyDescent="0.2">
      <c r="A13" s="12">
        <v>5</v>
      </c>
      <c r="B13" s="13">
        <v>2</v>
      </c>
      <c r="C13" s="14">
        <v>400</v>
      </c>
      <c r="D13" s="15">
        <f>159.439815-1.5</f>
        <v>157.93981500000001</v>
      </c>
    </row>
    <row r="14" spans="1:4" x14ac:dyDescent="0.2">
      <c r="A14" s="12">
        <v>6</v>
      </c>
      <c r="B14" s="13">
        <v>1</v>
      </c>
      <c r="C14" s="14">
        <v>400</v>
      </c>
      <c r="D14" s="15">
        <f>125.9370675-7-10.5-12.6-1.4</f>
        <v>94.437067499999998</v>
      </c>
    </row>
    <row r="15" spans="1:4" x14ac:dyDescent="0.2">
      <c r="A15" s="12">
        <v>6</v>
      </c>
      <c r="B15" s="13">
        <v>2</v>
      </c>
      <c r="C15" s="14">
        <v>400</v>
      </c>
      <c r="D15" s="15">
        <f>140.95044-4.4-12.6</f>
        <v>123.95043999999999</v>
      </c>
    </row>
    <row r="16" spans="1:4" x14ac:dyDescent="0.2">
      <c r="A16" s="12">
        <v>7</v>
      </c>
      <c r="B16" s="13">
        <v>1</v>
      </c>
      <c r="C16" s="14">
        <v>250</v>
      </c>
      <c r="D16" s="15">
        <f>86.76279-3.5-22.8-18-4.8-36</f>
        <v>1.6627900000000011</v>
      </c>
    </row>
    <row r="17" spans="1:4" x14ac:dyDescent="0.2">
      <c r="A17" s="12">
        <v>7</v>
      </c>
      <c r="B17" s="13">
        <v>2</v>
      </c>
      <c r="C17" s="14">
        <v>250</v>
      </c>
      <c r="D17" s="15">
        <v>71.749417500000007</v>
      </c>
    </row>
    <row r="18" spans="1:4" x14ac:dyDescent="0.2">
      <c r="A18" s="12">
        <v>8</v>
      </c>
      <c r="B18" s="13">
        <v>1</v>
      </c>
      <c r="C18" s="14">
        <v>250</v>
      </c>
      <c r="D18" s="15">
        <f>83.064915-49-7.35</f>
        <v>26.714914999999998</v>
      </c>
    </row>
    <row r="19" spans="1:4" x14ac:dyDescent="0.2">
      <c r="A19" s="12">
        <v>8</v>
      </c>
      <c r="B19" s="13">
        <v>2</v>
      </c>
      <c r="C19" s="14">
        <v>250</v>
      </c>
      <c r="D19" s="15">
        <v>0</v>
      </c>
    </row>
    <row r="20" spans="1:4" x14ac:dyDescent="0.2">
      <c r="A20" s="12">
        <v>9</v>
      </c>
      <c r="B20" s="13">
        <v>1</v>
      </c>
      <c r="C20" s="14">
        <v>1000</v>
      </c>
      <c r="D20" s="15">
        <f>450-15</f>
        <v>435</v>
      </c>
    </row>
    <row r="21" spans="1:4" x14ac:dyDescent="0.2">
      <c r="A21" s="12">
        <v>9</v>
      </c>
      <c r="B21" s="13">
        <v>2</v>
      </c>
      <c r="C21" s="14">
        <v>1000</v>
      </c>
      <c r="D21" s="15">
        <f>450-18-15</f>
        <v>417</v>
      </c>
    </row>
    <row r="22" spans="1:4" x14ac:dyDescent="0.2">
      <c r="A22" s="12">
        <v>10</v>
      </c>
      <c r="B22" s="13">
        <v>1</v>
      </c>
      <c r="C22" s="14">
        <v>250</v>
      </c>
      <c r="D22" s="15">
        <f>108.2844225-41.3</f>
        <v>66.984422500000008</v>
      </c>
    </row>
    <row r="23" spans="1:4" x14ac:dyDescent="0.2">
      <c r="A23" s="12">
        <v>10</v>
      </c>
      <c r="B23" s="13">
        <v>2</v>
      </c>
      <c r="C23" s="14">
        <v>250</v>
      </c>
      <c r="D23" s="15">
        <v>101.70220499999999</v>
      </c>
    </row>
    <row r="24" spans="1:4" x14ac:dyDescent="0.2">
      <c r="A24" s="12">
        <v>11</v>
      </c>
      <c r="B24" s="13">
        <v>1</v>
      </c>
      <c r="C24" s="14">
        <v>400</v>
      </c>
      <c r="D24" s="15">
        <f>163.43352-2.75</f>
        <v>160.68351999999999</v>
      </c>
    </row>
    <row r="25" spans="1:4" x14ac:dyDescent="0.2">
      <c r="A25" s="12">
        <v>11</v>
      </c>
      <c r="B25" s="13">
        <v>2</v>
      </c>
      <c r="C25" s="14">
        <v>400</v>
      </c>
      <c r="D25" s="15">
        <f>140.35878-9-9</f>
        <v>122.35878</v>
      </c>
    </row>
    <row r="26" spans="1:4" x14ac:dyDescent="0.2">
      <c r="A26" s="12">
        <v>12</v>
      </c>
      <c r="B26" s="13">
        <v>1</v>
      </c>
      <c r="C26" s="14">
        <v>400</v>
      </c>
      <c r="D26" s="15">
        <f>179.65068-7.2-8.25-5.5-9</f>
        <v>149.70068000000001</v>
      </c>
    </row>
    <row r="27" spans="1:4" x14ac:dyDescent="0.2">
      <c r="A27" s="12">
        <v>13</v>
      </c>
      <c r="B27" s="13">
        <v>1</v>
      </c>
      <c r="C27" s="14">
        <v>400</v>
      </c>
      <c r="D27" s="15">
        <v>0</v>
      </c>
    </row>
    <row r="28" spans="1:4" x14ac:dyDescent="0.2">
      <c r="A28" s="12">
        <v>13</v>
      </c>
      <c r="B28" s="13">
        <v>2</v>
      </c>
      <c r="C28" s="14">
        <v>400</v>
      </c>
      <c r="D28" s="15">
        <v>0</v>
      </c>
    </row>
    <row r="29" spans="1:4" x14ac:dyDescent="0.2">
      <c r="A29" s="12">
        <v>14</v>
      </c>
      <c r="B29" s="13">
        <v>1</v>
      </c>
      <c r="C29" s="14">
        <v>250</v>
      </c>
      <c r="D29" s="15">
        <f>141.91398-7-6.32-10.5-10.5-10.5-0.11-0.7</f>
        <v>96.283980000000014</v>
      </c>
    </row>
    <row r="30" spans="1:4" x14ac:dyDescent="0.2">
      <c r="A30" s="12">
        <v>15</v>
      </c>
      <c r="B30" s="13">
        <v>1</v>
      </c>
      <c r="C30" s="14">
        <v>400</v>
      </c>
      <c r="D30" s="15">
        <f>160.623135-10.5-2.1-21</f>
        <v>127.023135</v>
      </c>
    </row>
    <row r="31" spans="1:4" x14ac:dyDescent="0.2">
      <c r="A31" s="12">
        <v>15</v>
      </c>
      <c r="B31" s="13">
        <v>2</v>
      </c>
      <c r="C31" s="14">
        <v>400</v>
      </c>
      <c r="D31" s="15">
        <f>143.8347825-7.7-4.9-5.6-3.57</f>
        <v>122.06478250000001</v>
      </c>
    </row>
    <row r="32" spans="1:4" x14ac:dyDescent="0.2">
      <c r="A32" s="12">
        <v>16</v>
      </c>
      <c r="B32" s="13">
        <v>1</v>
      </c>
      <c r="C32" s="14">
        <v>400</v>
      </c>
      <c r="D32" s="15">
        <f>148.1243175-19.2-16.2-60-4.2-16.8-0.06</f>
        <v>31.664317499999996</v>
      </c>
    </row>
    <row r="33" spans="1:4" x14ac:dyDescent="0.2">
      <c r="A33" s="12">
        <v>16</v>
      </c>
      <c r="B33" s="13">
        <v>2</v>
      </c>
      <c r="C33" s="14">
        <v>400</v>
      </c>
      <c r="D33" s="15">
        <f>161.7324975-9-9-30-60</f>
        <v>53.732497499999994</v>
      </c>
    </row>
    <row r="34" spans="1:4" x14ac:dyDescent="0.2">
      <c r="A34" s="12">
        <v>17</v>
      </c>
      <c r="B34" s="13">
        <v>1</v>
      </c>
      <c r="C34" s="14">
        <v>400</v>
      </c>
      <c r="D34" s="15">
        <f>136.2911175-20.09-27.2-9.59</f>
        <v>79.411117500000003</v>
      </c>
    </row>
    <row r="35" spans="1:4" x14ac:dyDescent="0.2">
      <c r="A35" s="12">
        <v>17</v>
      </c>
      <c r="B35" s="13">
        <v>2</v>
      </c>
      <c r="C35" s="14">
        <v>400</v>
      </c>
      <c r="D35" s="15">
        <f>128.82141-11.3-1.4</f>
        <v>116.12140999999998</v>
      </c>
    </row>
    <row r="36" spans="1:4" x14ac:dyDescent="0.2">
      <c r="A36" s="12">
        <v>18</v>
      </c>
      <c r="B36" s="13">
        <v>1</v>
      </c>
      <c r="C36" s="14">
        <v>250</v>
      </c>
      <c r="D36" s="15">
        <f>58.36311-14</f>
        <v>44.363109999999999</v>
      </c>
    </row>
    <row r="37" spans="1:4" x14ac:dyDescent="0.2">
      <c r="A37" s="12">
        <v>18</v>
      </c>
      <c r="B37" s="13">
        <v>2</v>
      </c>
      <c r="C37" s="14">
        <v>400</v>
      </c>
      <c r="D37" s="15">
        <v>176.74587</v>
      </c>
    </row>
    <row r="38" spans="1:4" x14ac:dyDescent="0.2">
      <c r="A38" s="12">
        <v>19</v>
      </c>
      <c r="B38" s="13">
        <v>1</v>
      </c>
      <c r="C38" s="14">
        <v>630</v>
      </c>
      <c r="D38" s="15">
        <v>0</v>
      </c>
    </row>
    <row r="39" spans="1:4" x14ac:dyDescent="0.2">
      <c r="A39" s="12">
        <v>19</v>
      </c>
      <c r="B39" s="13">
        <v>2</v>
      </c>
      <c r="C39" s="14">
        <v>630</v>
      </c>
      <c r="D39" s="15">
        <f>245.33793-192.5-7.7</f>
        <v>45.137929999999997</v>
      </c>
    </row>
    <row r="40" spans="1:4" x14ac:dyDescent="0.2">
      <c r="A40" s="12">
        <v>20</v>
      </c>
      <c r="B40" s="13">
        <v>1</v>
      </c>
      <c r="C40" s="14">
        <v>400</v>
      </c>
      <c r="D40" s="15">
        <f>127.93392-3-5.22-13.8</f>
        <v>105.91392</v>
      </c>
    </row>
    <row r="41" spans="1:4" x14ac:dyDescent="0.2">
      <c r="A41" s="12">
        <v>20</v>
      </c>
      <c r="B41" s="13">
        <v>2</v>
      </c>
      <c r="C41" s="14">
        <v>400</v>
      </c>
      <c r="D41" s="15">
        <f>144.4264425-9-63.6-6-6</f>
        <v>59.826442500000013</v>
      </c>
    </row>
    <row r="42" spans="1:4" x14ac:dyDescent="0.2">
      <c r="A42" s="12">
        <v>21</v>
      </c>
      <c r="B42" s="13">
        <v>1</v>
      </c>
      <c r="C42" s="14">
        <v>400</v>
      </c>
      <c r="D42" s="15">
        <f>203.31708-24-21-18-9-9-96.75</f>
        <v>25.567080000000004</v>
      </c>
    </row>
    <row r="43" spans="1:4" x14ac:dyDescent="0.2">
      <c r="A43" s="12">
        <v>22</v>
      </c>
      <c r="B43" s="13">
        <v>1</v>
      </c>
      <c r="C43" s="14">
        <v>400</v>
      </c>
      <c r="D43" s="15">
        <v>136.36507499999999</v>
      </c>
    </row>
    <row r="44" spans="1:4" x14ac:dyDescent="0.2">
      <c r="A44" s="12">
        <v>22</v>
      </c>
      <c r="B44" s="13">
        <v>2</v>
      </c>
      <c r="C44" s="14">
        <v>630</v>
      </c>
      <c r="D44" s="15">
        <f>218.3434425-12</f>
        <v>206.34344250000001</v>
      </c>
    </row>
    <row r="45" spans="1:4" x14ac:dyDescent="0.2">
      <c r="A45" s="12">
        <v>23</v>
      </c>
      <c r="B45" s="13">
        <v>1</v>
      </c>
      <c r="C45" s="14">
        <v>250</v>
      </c>
      <c r="D45" s="15">
        <f>60.16629-5.5-4.95</f>
        <v>49.716289999999994</v>
      </c>
    </row>
    <row r="46" spans="1:4" x14ac:dyDescent="0.2">
      <c r="A46" s="16">
        <v>24</v>
      </c>
      <c r="B46" s="13">
        <v>1</v>
      </c>
      <c r="C46" s="17">
        <v>400</v>
      </c>
      <c r="D46" s="15">
        <f>163.9512225-16.5-6.3</f>
        <v>141.15122249999999</v>
      </c>
    </row>
    <row r="47" spans="1:4" x14ac:dyDescent="0.2">
      <c r="A47" s="16">
        <v>24</v>
      </c>
      <c r="B47" s="13">
        <v>2</v>
      </c>
      <c r="C47" s="17">
        <v>400</v>
      </c>
      <c r="D47" s="15">
        <v>169.64595</v>
      </c>
    </row>
    <row r="48" spans="1:4" x14ac:dyDescent="0.2">
      <c r="A48" s="12">
        <v>25</v>
      </c>
      <c r="B48" s="13">
        <v>1</v>
      </c>
      <c r="C48" s="14">
        <v>250</v>
      </c>
      <c r="D48" s="15">
        <v>0</v>
      </c>
    </row>
    <row r="49" spans="1:4" x14ac:dyDescent="0.2">
      <c r="A49" s="12">
        <v>25</v>
      </c>
      <c r="B49" s="13">
        <v>2</v>
      </c>
      <c r="C49" s="14">
        <v>400</v>
      </c>
      <c r="D49" s="15">
        <v>0</v>
      </c>
    </row>
    <row r="50" spans="1:4" x14ac:dyDescent="0.2">
      <c r="A50" s="12">
        <v>26</v>
      </c>
      <c r="B50" s="13">
        <v>1</v>
      </c>
      <c r="C50" s="14">
        <v>400</v>
      </c>
      <c r="D50" s="15">
        <f>137.0306925-6.54-9-5.4-9-9-9-9-9-21-9-9-30</f>
        <v>2.0906924999999887</v>
      </c>
    </row>
    <row r="51" spans="1:4" x14ac:dyDescent="0.2">
      <c r="A51" s="12">
        <v>26</v>
      </c>
      <c r="B51" s="13">
        <v>2</v>
      </c>
      <c r="C51" s="14">
        <v>400</v>
      </c>
      <c r="D51" s="15">
        <v>0</v>
      </c>
    </row>
    <row r="52" spans="1:4" x14ac:dyDescent="0.2">
      <c r="A52" s="12">
        <v>27</v>
      </c>
      <c r="B52" s="13">
        <v>1</v>
      </c>
      <c r="C52" s="14">
        <v>250</v>
      </c>
      <c r="D52" s="15">
        <v>0</v>
      </c>
    </row>
    <row r="53" spans="1:4" x14ac:dyDescent="0.2">
      <c r="A53" s="12">
        <v>28</v>
      </c>
      <c r="B53" s="13">
        <v>1</v>
      </c>
      <c r="C53" s="14">
        <v>630</v>
      </c>
      <c r="D53" s="15">
        <f>248.29623-60-0.23-33.6-6</f>
        <v>148.46623000000002</v>
      </c>
    </row>
    <row r="54" spans="1:4" x14ac:dyDescent="0.2">
      <c r="A54" s="12">
        <v>28</v>
      </c>
      <c r="B54" s="13">
        <v>2</v>
      </c>
      <c r="C54" s="14">
        <v>630</v>
      </c>
      <c r="D54" s="15">
        <f>258.25584-6-60</f>
        <v>192.25583999999998</v>
      </c>
    </row>
    <row r="55" spans="1:4" x14ac:dyDescent="0.2">
      <c r="A55" s="12">
        <v>29</v>
      </c>
      <c r="B55" s="13">
        <v>1</v>
      </c>
      <c r="C55" s="14">
        <v>315</v>
      </c>
      <c r="D55" s="15">
        <f>189-36-44.7-1.5-73.5-2.73</f>
        <v>30.569999999999997</v>
      </c>
    </row>
    <row r="56" spans="1:4" x14ac:dyDescent="0.2">
      <c r="A56" s="12">
        <v>30</v>
      </c>
      <c r="B56" s="13">
        <v>1</v>
      </c>
      <c r="C56" s="14">
        <v>630</v>
      </c>
      <c r="D56" s="15">
        <f>210.75744-3.9-6-7.8-6.6-3-21-4.2-78-9-7.5-6.3-7.8-14.4-9-10.2</f>
        <v>16.05744000000001</v>
      </c>
    </row>
    <row r="57" spans="1:4" x14ac:dyDescent="0.2">
      <c r="A57" s="12">
        <v>31</v>
      </c>
      <c r="B57" s="13">
        <v>1</v>
      </c>
      <c r="C57" s="14">
        <v>400</v>
      </c>
      <c r="D57" s="15">
        <v>132.37136999999998</v>
      </c>
    </row>
    <row r="58" spans="1:4" x14ac:dyDescent="0.2">
      <c r="A58" s="12">
        <v>31</v>
      </c>
      <c r="B58" s="13">
        <v>2</v>
      </c>
      <c r="C58" s="14">
        <v>400</v>
      </c>
      <c r="D58" s="15">
        <v>117</v>
      </c>
    </row>
    <row r="59" spans="1:4" x14ac:dyDescent="0.2">
      <c r="A59" s="12">
        <v>32</v>
      </c>
      <c r="B59" s="13">
        <v>1</v>
      </c>
      <c r="C59" s="14">
        <v>400</v>
      </c>
      <c r="D59" s="15">
        <f>123-9.54-9-5.4-0.6</f>
        <v>98.460000000000008</v>
      </c>
    </row>
    <row r="60" spans="1:4" x14ac:dyDescent="0.2">
      <c r="A60" s="12">
        <v>32</v>
      </c>
      <c r="B60" s="13">
        <v>2</v>
      </c>
      <c r="C60" s="14">
        <v>400</v>
      </c>
      <c r="D60" s="15">
        <f>167.47653-30</f>
        <v>137.47653</v>
      </c>
    </row>
    <row r="61" spans="1:4" x14ac:dyDescent="0.2">
      <c r="A61" s="12">
        <v>33</v>
      </c>
      <c r="B61" s="13">
        <v>1</v>
      </c>
      <c r="C61" s="14">
        <v>400</v>
      </c>
      <c r="D61" s="15">
        <f>153.67113-0.6</f>
        <v>153.07113000000001</v>
      </c>
    </row>
    <row r="62" spans="1:4" x14ac:dyDescent="0.2">
      <c r="A62" s="12">
        <v>33</v>
      </c>
      <c r="B62" s="13">
        <v>2</v>
      </c>
      <c r="C62" s="14">
        <v>400</v>
      </c>
      <c r="D62" s="15">
        <f>68.66931-7.2-6-8.4-3.6-11.1-7.8</f>
        <v>24.569309999999991</v>
      </c>
    </row>
    <row r="63" spans="1:4" x14ac:dyDescent="0.2">
      <c r="A63" s="12">
        <v>34</v>
      </c>
      <c r="B63" s="13">
        <v>1</v>
      </c>
      <c r="C63" s="14">
        <v>250</v>
      </c>
      <c r="D63" s="15">
        <f>107-9-9-7.8</f>
        <v>81.2</v>
      </c>
    </row>
    <row r="64" spans="1:4" x14ac:dyDescent="0.2">
      <c r="A64" s="12">
        <v>34</v>
      </c>
      <c r="B64" s="13">
        <v>2</v>
      </c>
      <c r="C64" s="14">
        <v>250</v>
      </c>
      <c r="D64" s="15">
        <f>90-8.22-9-6-6-4.5-3</f>
        <v>53.28</v>
      </c>
    </row>
    <row r="65" spans="1:4" x14ac:dyDescent="0.2">
      <c r="A65" s="12">
        <v>35</v>
      </c>
      <c r="B65" s="13">
        <v>1</v>
      </c>
      <c r="C65" s="14">
        <v>180</v>
      </c>
      <c r="D65" s="15">
        <v>0</v>
      </c>
    </row>
    <row r="66" spans="1:4" x14ac:dyDescent="0.2">
      <c r="A66" s="12">
        <v>36</v>
      </c>
      <c r="B66" s="13">
        <v>1</v>
      </c>
      <c r="C66" s="14">
        <v>400</v>
      </c>
      <c r="D66" s="15">
        <f>159.88356-1.1-8.25</f>
        <v>150.53355999999999</v>
      </c>
    </row>
    <row r="67" spans="1:4" x14ac:dyDescent="0.2">
      <c r="A67" s="12">
        <v>36</v>
      </c>
      <c r="B67" s="13">
        <v>2</v>
      </c>
      <c r="C67" s="14">
        <v>400</v>
      </c>
      <c r="D67" s="15">
        <f>102.640455-4.2-8.25</f>
        <v>90.190455</v>
      </c>
    </row>
    <row r="68" spans="1:4" x14ac:dyDescent="0.2">
      <c r="A68" s="12">
        <v>37</v>
      </c>
      <c r="B68" s="13">
        <v>1</v>
      </c>
      <c r="C68" s="14">
        <v>630</v>
      </c>
      <c r="D68" s="15">
        <f>264.86271-18</f>
        <v>246.86270999999999</v>
      </c>
    </row>
    <row r="69" spans="1:4" x14ac:dyDescent="0.2">
      <c r="A69" s="12">
        <v>37</v>
      </c>
      <c r="B69" s="13">
        <v>2</v>
      </c>
      <c r="C69" s="14">
        <v>630</v>
      </c>
      <c r="D69" s="15">
        <v>251.10661499999998</v>
      </c>
    </row>
    <row r="70" spans="1:4" x14ac:dyDescent="0.2">
      <c r="A70" s="12">
        <v>38</v>
      </c>
      <c r="B70" s="13">
        <v>1</v>
      </c>
      <c r="C70" s="14">
        <v>250</v>
      </c>
      <c r="D70" s="15">
        <f>70.048395-69.9</f>
        <v>0.14839499999999362</v>
      </c>
    </row>
    <row r="71" spans="1:4" x14ac:dyDescent="0.2">
      <c r="A71" s="12">
        <v>38</v>
      </c>
      <c r="B71" s="13">
        <v>2</v>
      </c>
      <c r="C71" s="14">
        <v>400</v>
      </c>
      <c r="D71" s="15">
        <f>135.6255-9.1-81-7</f>
        <v>38.525499999999994</v>
      </c>
    </row>
    <row r="72" spans="1:4" x14ac:dyDescent="0.2">
      <c r="A72" s="12">
        <v>39</v>
      </c>
      <c r="B72" s="13">
        <v>1</v>
      </c>
      <c r="C72" s="14">
        <v>400</v>
      </c>
      <c r="D72" s="15">
        <v>0</v>
      </c>
    </row>
    <row r="73" spans="1:4" x14ac:dyDescent="0.2">
      <c r="A73" s="12">
        <v>39</v>
      </c>
      <c r="B73" s="13">
        <v>2</v>
      </c>
      <c r="C73" s="14">
        <v>400</v>
      </c>
      <c r="D73" s="15">
        <v>0</v>
      </c>
    </row>
    <row r="74" spans="1:4" x14ac:dyDescent="0.2">
      <c r="A74" s="12">
        <v>40</v>
      </c>
      <c r="B74" s="13">
        <v>1</v>
      </c>
      <c r="C74" s="14">
        <v>630</v>
      </c>
      <c r="D74" s="15">
        <f>185.48166-18-66.5-12-0.6-0.3</f>
        <v>88.081660000000014</v>
      </c>
    </row>
    <row r="75" spans="1:4" x14ac:dyDescent="0.2">
      <c r="A75" s="12">
        <v>40</v>
      </c>
      <c r="B75" s="13">
        <v>2</v>
      </c>
      <c r="C75" s="14">
        <v>630</v>
      </c>
      <c r="D75" s="15">
        <f>187.55247-9-9-21</f>
        <v>148.55247</v>
      </c>
    </row>
    <row r="76" spans="1:4" x14ac:dyDescent="0.2">
      <c r="A76" s="12">
        <v>41</v>
      </c>
      <c r="B76" s="13">
        <v>1</v>
      </c>
      <c r="C76" s="14">
        <v>400</v>
      </c>
      <c r="D76" s="15">
        <f>147.01077-3-30</f>
        <v>114.01077000000001</v>
      </c>
    </row>
    <row r="77" spans="1:4" x14ac:dyDescent="0.2">
      <c r="A77" s="12">
        <v>42</v>
      </c>
      <c r="B77" s="13">
        <v>1</v>
      </c>
      <c r="C77" s="14">
        <v>630</v>
      </c>
      <c r="D77" s="15">
        <f>241.0977-6.6</f>
        <v>234.49770000000001</v>
      </c>
    </row>
    <row r="78" spans="1:4" x14ac:dyDescent="0.2">
      <c r="A78" s="12">
        <v>42</v>
      </c>
      <c r="B78" s="13">
        <v>2</v>
      </c>
      <c r="C78" s="14">
        <v>250</v>
      </c>
      <c r="D78" s="15">
        <f>109.83753-9</f>
        <v>100.83753</v>
      </c>
    </row>
    <row r="79" spans="1:4" x14ac:dyDescent="0.2">
      <c r="A79" s="12">
        <v>43</v>
      </c>
      <c r="B79" s="13">
        <v>1</v>
      </c>
      <c r="C79" s="14">
        <v>630</v>
      </c>
      <c r="D79" s="15">
        <f>245.33793-170-18</f>
        <v>57.33793</v>
      </c>
    </row>
    <row r="80" spans="1:4" x14ac:dyDescent="0.2">
      <c r="A80" s="12">
        <v>43</v>
      </c>
      <c r="B80" s="13">
        <v>2</v>
      </c>
      <c r="C80" s="14">
        <v>630</v>
      </c>
      <c r="D80" s="15">
        <f>240.9744375-170</f>
        <v>70.974437499999993</v>
      </c>
    </row>
    <row r="81" spans="1:4" x14ac:dyDescent="0.2">
      <c r="A81" s="12">
        <v>44</v>
      </c>
      <c r="B81" s="13">
        <v>1</v>
      </c>
      <c r="C81" s="14">
        <v>200</v>
      </c>
      <c r="D81" s="15">
        <f>128-9</f>
        <v>119</v>
      </c>
    </row>
    <row r="82" spans="1:4" x14ac:dyDescent="0.2">
      <c r="A82" s="12">
        <v>45</v>
      </c>
      <c r="B82" s="13">
        <v>1</v>
      </c>
      <c r="C82" s="14">
        <v>630</v>
      </c>
      <c r="D82" s="15">
        <f>301.47864-21-18-1.8-15.6-27.5-0.46-0.6-18</f>
        <v>198.51863999999998</v>
      </c>
    </row>
    <row r="83" spans="1:4" x14ac:dyDescent="0.2">
      <c r="A83" s="12">
        <v>46</v>
      </c>
      <c r="B83" s="13">
        <v>1</v>
      </c>
      <c r="C83" s="14">
        <v>250</v>
      </c>
      <c r="D83" s="15">
        <f>82.1034675-27.5-8.25-1.36-8.25-33</f>
        <v>3.7434674999999942</v>
      </c>
    </row>
    <row r="84" spans="1:4" x14ac:dyDescent="0.2">
      <c r="A84" s="12">
        <v>46</v>
      </c>
      <c r="B84" s="13">
        <v>2</v>
      </c>
      <c r="C84" s="14">
        <v>250</v>
      </c>
      <c r="D84" s="15">
        <f>112.20417-27.5</f>
        <v>84.704170000000005</v>
      </c>
    </row>
    <row r="85" spans="1:4" x14ac:dyDescent="0.2">
      <c r="A85" s="12">
        <v>47</v>
      </c>
      <c r="B85" s="13">
        <v>1</v>
      </c>
      <c r="C85" s="14">
        <v>400</v>
      </c>
      <c r="D85" s="15">
        <v>0</v>
      </c>
    </row>
    <row r="86" spans="1:4" x14ac:dyDescent="0.2">
      <c r="A86" s="12">
        <v>47</v>
      </c>
      <c r="B86" s="13">
        <v>2</v>
      </c>
      <c r="C86" s="14">
        <v>250</v>
      </c>
      <c r="D86" s="15">
        <v>0</v>
      </c>
    </row>
    <row r="87" spans="1:4" x14ac:dyDescent="0.2">
      <c r="A87" s="12">
        <v>48</v>
      </c>
      <c r="B87" s="13">
        <v>1</v>
      </c>
      <c r="C87" s="14">
        <v>400</v>
      </c>
      <c r="D87" s="15">
        <f>162.34881-10.5-4.9-7-1.4-7.35-17.5</f>
        <v>113.69880999999998</v>
      </c>
    </row>
    <row r="88" spans="1:4" x14ac:dyDescent="0.2">
      <c r="A88" s="12">
        <v>48</v>
      </c>
      <c r="B88" s="13">
        <v>2</v>
      </c>
      <c r="C88" s="14">
        <v>400</v>
      </c>
      <c r="D88" s="15">
        <f>172.60425-10.5-10.5-10.5-10.5-10.5-10.5-2.1-10.5-10.5-7-10.5-7.35</f>
        <v>61.654250000000012</v>
      </c>
    </row>
    <row r="89" spans="1:4" x14ac:dyDescent="0.2">
      <c r="A89" s="12">
        <v>49</v>
      </c>
      <c r="B89" s="13">
        <v>1</v>
      </c>
      <c r="C89" s="14">
        <v>400</v>
      </c>
      <c r="D89" s="15">
        <f>186.25755-0.54-17.4-9</f>
        <v>159.31755000000001</v>
      </c>
    </row>
    <row r="90" spans="1:4" x14ac:dyDescent="0.2">
      <c r="A90" s="12">
        <v>50</v>
      </c>
      <c r="B90" s="13">
        <v>1</v>
      </c>
      <c r="C90" s="14">
        <v>400</v>
      </c>
      <c r="D90" s="15">
        <f>144.056655-5.82-1.2</f>
        <v>137.03665500000002</v>
      </c>
    </row>
    <row r="91" spans="1:4" x14ac:dyDescent="0.2">
      <c r="A91" s="12">
        <v>50</v>
      </c>
      <c r="B91" s="13">
        <v>2</v>
      </c>
      <c r="C91" s="14">
        <v>400</v>
      </c>
      <c r="D91" s="15">
        <f>137.1786075-6.6</f>
        <v>130.5786075</v>
      </c>
    </row>
    <row r="92" spans="1:4" x14ac:dyDescent="0.2">
      <c r="A92" s="12">
        <v>51</v>
      </c>
      <c r="B92" s="13">
        <v>1</v>
      </c>
      <c r="C92" s="14">
        <v>400</v>
      </c>
      <c r="D92" s="15">
        <f>141.83793-7.5-10.84-5.5-9-12.6-6.06-8.25-1.1-4.95-6-4.8</f>
        <v>65.237930000000006</v>
      </c>
    </row>
    <row r="93" spans="1:4" x14ac:dyDescent="0.2">
      <c r="A93" s="12">
        <v>51</v>
      </c>
      <c r="B93" s="13">
        <v>2</v>
      </c>
      <c r="C93" s="14">
        <v>400</v>
      </c>
      <c r="D93" s="15">
        <f>154.410705-8.25-6</f>
        <v>140.16070500000001</v>
      </c>
    </row>
    <row r="94" spans="1:4" x14ac:dyDescent="0.2">
      <c r="A94" s="12">
        <v>52</v>
      </c>
      <c r="B94" s="13">
        <v>1</v>
      </c>
      <c r="C94" s="14">
        <v>630</v>
      </c>
      <c r="D94" s="15">
        <f>333.9542-9-2.7-4.2-6.6-18-9.8</f>
        <v>283.6542</v>
      </c>
    </row>
    <row r="95" spans="1:4" x14ac:dyDescent="0.2">
      <c r="A95" s="12">
        <v>53</v>
      </c>
      <c r="B95" s="13">
        <v>1</v>
      </c>
      <c r="C95" s="14">
        <v>160</v>
      </c>
      <c r="D95" s="15">
        <f>79.53213-9-0.9</f>
        <v>69.632129999999989</v>
      </c>
    </row>
    <row r="96" spans="1:4" x14ac:dyDescent="0.2">
      <c r="A96" s="12">
        <v>54</v>
      </c>
      <c r="B96" s="13">
        <v>1</v>
      </c>
      <c r="C96" s="14">
        <v>400</v>
      </c>
      <c r="D96" s="15">
        <f>189.80751-9-6</f>
        <v>174.80751000000001</v>
      </c>
    </row>
    <row r="97" spans="1:4" x14ac:dyDescent="0.2">
      <c r="A97" s="12">
        <v>55</v>
      </c>
      <c r="B97" s="13">
        <v>1</v>
      </c>
      <c r="C97" s="14">
        <v>250</v>
      </c>
      <c r="D97" s="15">
        <f>64.7974125-3</f>
        <v>61.797412499999993</v>
      </c>
    </row>
    <row r="98" spans="1:4" x14ac:dyDescent="0.2">
      <c r="A98" s="12">
        <v>55</v>
      </c>
      <c r="B98" s="13">
        <v>2</v>
      </c>
      <c r="C98" s="14">
        <v>400</v>
      </c>
      <c r="D98" s="15">
        <f>155.44611-7-1.2-4.4</f>
        <v>142.84611000000001</v>
      </c>
    </row>
    <row r="99" spans="1:4" x14ac:dyDescent="0.2">
      <c r="A99" s="12">
        <v>56</v>
      </c>
      <c r="B99" s="13">
        <v>1</v>
      </c>
      <c r="C99" s="14">
        <v>400</v>
      </c>
      <c r="D99" s="15">
        <f>182.90481-6.87-10.5-0.5-16.5-5.5</f>
        <v>143.03480999999999</v>
      </c>
    </row>
    <row r="100" spans="1:4" x14ac:dyDescent="0.2">
      <c r="A100" s="12">
        <v>57</v>
      </c>
      <c r="B100" s="13">
        <v>1</v>
      </c>
      <c r="C100" s="14">
        <v>400</v>
      </c>
      <c r="D100" s="15">
        <v>0</v>
      </c>
    </row>
    <row r="101" spans="1:4" x14ac:dyDescent="0.2">
      <c r="A101" s="12">
        <v>58</v>
      </c>
      <c r="B101" s="13">
        <v>1</v>
      </c>
      <c r="C101" s="14">
        <v>400</v>
      </c>
      <c r="D101" s="15">
        <f>169.39524-8.22-9-6-30-9-6-9</f>
        <v>92.175240000000002</v>
      </c>
    </row>
    <row r="102" spans="1:4" x14ac:dyDescent="0.2">
      <c r="A102" s="12">
        <v>59</v>
      </c>
      <c r="B102" s="13">
        <v>1</v>
      </c>
      <c r="C102" s="14">
        <v>400</v>
      </c>
      <c r="D102" s="15">
        <v>154.85444999999999</v>
      </c>
    </row>
    <row r="103" spans="1:4" x14ac:dyDescent="0.2">
      <c r="A103" s="12">
        <v>59</v>
      </c>
      <c r="B103" s="13">
        <v>2</v>
      </c>
      <c r="C103" s="14">
        <v>400</v>
      </c>
      <c r="D103" s="15">
        <f>153.0055125-0.54-5.4-0.54</f>
        <v>146.52551250000002</v>
      </c>
    </row>
    <row r="104" spans="1:4" x14ac:dyDescent="0.2">
      <c r="A104" s="12">
        <v>60</v>
      </c>
      <c r="B104" s="13">
        <v>1</v>
      </c>
      <c r="C104" s="14">
        <v>630</v>
      </c>
      <c r="D104" s="15">
        <v>220.85799750000001</v>
      </c>
    </row>
    <row r="105" spans="1:4" x14ac:dyDescent="0.2">
      <c r="A105" s="12">
        <v>60</v>
      </c>
      <c r="B105" s="13">
        <v>2</v>
      </c>
      <c r="C105" s="14">
        <v>630</v>
      </c>
      <c r="D105" s="15">
        <v>215.015355</v>
      </c>
    </row>
    <row r="106" spans="1:4" x14ac:dyDescent="0.2">
      <c r="A106" s="12">
        <v>61</v>
      </c>
      <c r="B106" s="13">
        <v>1</v>
      </c>
      <c r="C106" s="14">
        <v>180</v>
      </c>
      <c r="D106" s="15">
        <f>69.83793-3.85</f>
        <v>65.987930000000006</v>
      </c>
    </row>
    <row r="107" spans="1:4" x14ac:dyDescent="0.2">
      <c r="A107" s="12">
        <v>62</v>
      </c>
      <c r="B107" s="13">
        <v>1</v>
      </c>
      <c r="C107" s="14">
        <v>250</v>
      </c>
      <c r="D107" s="15">
        <f>111.83793-48</f>
        <v>63.83793</v>
      </c>
    </row>
    <row r="108" spans="1:4" x14ac:dyDescent="0.2">
      <c r="A108" s="12">
        <v>63</v>
      </c>
      <c r="B108" s="13">
        <v>1</v>
      </c>
      <c r="C108" s="14">
        <v>400</v>
      </c>
      <c r="D108" s="15">
        <v>0</v>
      </c>
    </row>
    <row r="109" spans="1:4" x14ac:dyDescent="0.2">
      <c r="A109" s="12">
        <v>64</v>
      </c>
      <c r="B109" s="13">
        <v>1</v>
      </c>
      <c r="C109" s="14">
        <v>400</v>
      </c>
      <c r="D109" s="15">
        <f>163.8033075-9-45-48</f>
        <v>61.803307499999988</v>
      </c>
    </row>
    <row r="110" spans="1:4" x14ac:dyDescent="0.2">
      <c r="A110" s="12">
        <v>64</v>
      </c>
      <c r="B110" s="13">
        <v>2</v>
      </c>
      <c r="C110" s="14">
        <v>400</v>
      </c>
      <c r="D110" s="15">
        <v>133.11094500000002</v>
      </c>
    </row>
    <row r="111" spans="1:4" x14ac:dyDescent="0.2">
      <c r="A111" s="12">
        <v>65</v>
      </c>
      <c r="B111" s="13">
        <v>1</v>
      </c>
      <c r="C111" s="14">
        <v>250</v>
      </c>
      <c r="D111" s="15">
        <v>116.27538</v>
      </c>
    </row>
    <row r="112" spans="1:4" x14ac:dyDescent="0.2">
      <c r="A112" s="12">
        <v>66</v>
      </c>
      <c r="B112" s="13">
        <v>1</v>
      </c>
      <c r="C112" s="14">
        <v>630</v>
      </c>
      <c r="D112" s="15">
        <f>234-21-12</f>
        <v>201</v>
      </c>
    </row>
    <row r="113" spans="1:4" x14ac:dyDescent="0.2">
      <c r="A113" s="12">
        <v>66</v>
      </c>
      <c r="B113" s="13">
        <v>2</v>
      </c>
      <c r="C113" s="14">
        <v>630</v>
      </c>
      <c r="D113" s="15">
        <f>240.01299-8.4-22</f>
        <v>209.61299</v>
      </c>
    </row>
    <row r="114" spans="1:4" x14ac:dyDescent="0.2">
      <c r="A114" s="12">
        <v>67</v>
      </c>
      <c r="B114" s="13">
        <v>1</v>
      </c>
      <c r="C114" s="14">
        <v>320</v>
      </c>
      <c r="D114" s="15">
        <v>179.67375000000001</v>
      </c>
    </row>
    <row r="115" spans="1:4" x14ac:dyDescent="0.2">
      <c r="A115" s="12">
        <v>69</v>
      </c>
      <c r="B115" s="13">
        <v>1</v>
      </c>
      <c r="C115" s="14">
        <v>200</v>
      </c>
      <c r="D115" s="15">
        <f>59.25624-9-3.6-9-21-9</f>
        <v>7.6562399999999968</v>
      </c>
    </row>
    <row r="116" spans="1:4" x14ac:dyDescent="0.2">
      <c r="A116" s="12">
        <v>70</v>
      </c>
      <c r="B116" s="13">
        <v>1</v>
      </c>
      <c r="C116" s="14">
        <v>400</v>
      </c>
      <c r="D116" s="15">
        <f>121.869405-6-8.25-5.4-9-9-9-15.3-9</f>
        <v>50.919404999999998</v>
      </c>
    </row>
    <row r="117" spans="1:4" x14ac:dyDescent="0.2">
      <c r="A117" s="12">
        <v>70</v>
      </c>
      <c r="B117" s="13">
        <v>2</v>
      </c>
      <c r="C117" s="14">
        <v>400</v>
      </c>
      <c r="D117" s="15">
        <f>139.76712-9-37.8-15.3-6-17.08-26.4-18-1.8</f>
        <v>8.3871200000000137</v>
      </c>
    </row>
    <row r="118" spans="1:4" x14ac:dyDescent="0.2">
      <c r="A118" s="12">
        <v>71</v>
      </c>
      <c r="B118" s="13">
        <v>1</v>
      </c>
      <c r="C118" s="14">
        <v>630</v>
      </c>
      <c r="D118" s="15">
        <f>359-9-156-48</f>
        <v>146</v>
      </c>
    </row>
    <row r="119" spans="1:4" x14ac:dyDescent="0.2">
      <c r="A119" s="12">
        <v>71</v>
      </c>
      <c r="B119" s="13">
        <v>2</v>
      </c>
      <c r="C119" s="14">
        <v>630</v>
      </c>
      <c r="D119" s="15">
        <f>384-3-4.5-156-15-48-15-9-12-3.6-7.8</f>
        <v>110.10000000000001</v>
      </c>
    </row>
    <row r="120" spans="1:4" x14ac:dyDescent="0.2">
      <c r="A120" s="12">
        <v>72</v>
      </c>
      <c r="B120" s="13">
        <v>1</v>
      </c>
      <c r="C120" s="14">
        <v>250</v>
      </c>
      <c r="D120" s="15">
        <v>0</v>
      </c>
    </row>
    <row r="121" spans="1:4" x14ac:dyDescent="0.2">
      <c r="A121" s="12">
        <v>73</v>
      </c>
      <c r="B121" s="13">
        <v>1</v>
      </c>
      <c r="C121" s="14">
        <v>630</v>
      </c>
      <c r="D121" s="15">
        <f>283.5-3.6-12-18-9-8.4-16.5</f>
        <v>215.99999999999997</v>
      </c>
    </row>
    <row r="122" spans="1:4" x14ac:dyDescent="0.2">
      <c r="A122" s="12">
        <v>73</v>
      </c>
      <c r="B122" s="13">
        <v>2</v>
      </c>
      <c r="C122" s="14">
        <v>630</v>
      </c>
      <c r="D122" s="15">
        <v>283.5</v>
      </c>
    </row>
    <row r="123" spans="1:4" x14ac:dyDescent="0.2">
      <c r="A123" s="12">
        <v>74</v>
      </c>
      <c r="B123" s="13">
        <v>1</v>
      </c>
      <c r="C123" s="14">
        <v>315</v>
      </c>
      <c r="D123" s="15">
        <f>240-8.22-9-0.54-6-5.77-4.2</f>
        <v>206.27</v>
      </c>
    </row>
    <row r="124" spans="1:4" x14ac:dyDescent="0.2">
      <c r="A124" s="12">
        <v>75</v>
      </c>
      <c r="B124" s="13">
        <v>1</v>
      </c>
      <c r="C124" s="14">
        <v>400</v>
      </c>
      <c r="D124" s="15">
        <v>155.32687999999999</v>
      </c>
    </row>
    <row r="125" spans="1:4" x14ac:dyDescent="0.2">
      <c r="A125" s="12">
        <v>77</v>
      </c>
      <c r="B125" s="13">
        <v>1</v>
      </c>
      <c r="C125" s="14">
        <v>400</v>
      </c>
      <c r="D125" s="15">
        <v>180</v>
      </c>
    </row>
    <row r="126" spans="1:4" x14ac:dyDescent="0.2">
      <c r="A126" s="12">
        <v>77</v>
      </c>
      <c r="B126" s="13">
        <v>2</v>
      </c>
      <c r="C126" s="14">
        <v>400</v>
      </c>
      <c r="D126" s="15">
        <v>180</v>
      </c>
    </row>
    <row r="127" spans="1:4" x14ac:dyDescent="0.2">
      <c r="A127" s="12">
        <v>78</v>
      </c>
      <c r="B127" s="13">
        <v>1</v>
      </c>
      <c r="C127" s="14">
        <v>200</v>
      </c>
      <c r="D127" s="15">
        <f>119.86852-12</f>
        <v>107.86852</v>
      </c>
    </row>
    <row r="128" spans="1:4" x14ac:dyDescent="0.2">
      <c r="A128" s="12">
        <v>79</v>
      </c>
      <c r="B128" s="13">
        <v>1</v>
      </c>
      <c r="C128" s="14">
        <v>315</v>
      </c>
      <c r="D128" s="15">
        <v>148.96433999999999</v>
      </c>
    </row>
    <row r="129" spans="1:4" x14ac:dyDescent="0.2">
      <c r="A129" s="12">
        <v>80</v>
      </c>
      <c r="B129" s="13">
        <v>1</v>
      </c>
      <c r="C129" s="14">
        <v>400</v>
      </c>
      <c r="D129" s="15">
        <v>177.5594025</v>
      </c>
    </row>
    <row r="130" spans="1:4" x14ac:dyDescent="0.2">
      <c r="A130" s="12">
        <v>80</v>
      </c>
      <c r="B130" s="13">
        <v>2</v>
      </c>
      <c r="C130" s="14">
        <v>400</v>
      </c>
      <c r="D130" s="15">
        <f>162.102285-5.5</f>
        <v>156.60228499999999</v>
      </c>
    </row>
    <row r="131" spans="1:4" x14ac:dyDescent="0.2">
      <c r="A131" s="12">
        <v>80</v>
      </c>
      <c r="B131" s="13">
        <v>3</v>
      </c>
      <c r="C131" s="14">
        <v>400</v>
      </c>
      <c r="D131" s="15">
        <f>161.5845825-27.5-42</f>
        <v>92.08458250000001</v>
      </c>
    </row>
    <row r="132" spans="1:4" x14ac:dyDescent="0.2">
      <c r="A132" s="12">
        <v>80</v>
      </c>
      <c r="B132" s="13">
        <v>4</v>
      </c>
      <c r="C132" s="14">
        <v>400</v>
      </c>
      <c r="D132" s="15">
        <f>126.7506-10.5-55-27.5</f>
        <v>33.750600000000006</v>
      </c>
    </row>
    <row r="133" spans="1:4" x14ac:dyDescent="0.2">
      <c r="A133" s="12">
        <v>81</v>
      </c>
      <c r="B133" s="13">
        <v>1</v>
      </c>
      <c r="C133" s="14">
        <v>400</v>
      </c>
      <c r="D133" s="15">
        <f>154.55862-12</f>
        <v>142.55861999999999</v>
      </c>
    </row>
    <row r="134" spans="1:4" x14ac:dyDescent="0.2">
      <c r="A134" s="12">
        <v>81</v>
      </c>
      <c r="B134" s="13">
        <v>2</v>
      </c>
      <c r="C134" s="14">
        <v>400</v>
      </c>
      <c r="D134" s="15">
        <f>160.623135-11</f>
        <v>149.62313499999999</v>
      </c>
    </row>
    <row r="135" spans="1:4" x14ac:dyDescent="0.2">
      <c r="A135" s="12">
        <v>82</v>
      </c>
      <c r="B135" s="13">
        <v>1</v>
      </c>
      <c r="C135" s="14">
        <v>250</v>
      </c>
      <c r="D135" s="15">
        <f>115.78233-9-18-6-19.2</f>
        <v>63.582329999999999</v>
      </c>
    </row>
    <row r="136" spans="1:4" x14ac:dyDescent="0.2">
      <c r="A136" s="12">
        <v>83</v>
      </c>
      <c r="B136" s="13">
        <v>1</v>
      </c>
      <c r="C136" s="14">
        <v>250</v>
      </c>
      <c r="D136" s="15">
        <f>87.55167-39-39</f>
        <v>9.5516700000000014</v>
      </c>
    </row>
    <row r="137" spans="1:4" x14ac:dyDescent="0.2">
      <c r="A137" s="12">
        <v>83</v>
      </c>
      <c r="B137" s="13">
        <v>2</v>
      </c>
      <c r="C137" s="14">
        <v>250</v>
      </c>
      <c r="D137" s="15">
        <f>110.13336-18</f>
        <v>92.133359999999996</v>
      </c>
    </row>
    <row r="138" spans="1:4" x14ac:dyDescent="0.2">
      <c r="A138" s="12">
        <v>84</v>
      </c>
      <c r="B138" s="13">
        <v>1</v>
      </c>
      <c r="C138" s="14">
        <v>250</v>
      </c>
      <c r="D138" s="15">
        <f>104.41398-0.6-71.4</f>
        <v>32.413979999999995</v>
      </c>
    </row>
    <row r="139" spans="1:4" x14ac:dyDescent="0.2">
      <c r="A139" s="12">
        <v>84</v>
      </c>
      <c r="B139" s="13">
        <v>2</v>
      </c>
      <c r="C139" s="14">
        <v>250</v>
      </c>
      <c r="D139" s="15">
        <f>91.10163-0.54-71.4</f>
        <v>19.161629999999988</v>
      </c>
    </row>
    <row r="140" spans="1:4" x14ac:dyDescent="0.2">
      <c r="A140" s="12">
        <v>85</v>
      </c>
      <c r="B140" s="13">
        <v>1</v>
      </c>
      <c r="C140" s="14">
        <v>400</v>
      </c>
      <c r="D140" s="15">
        <f>140.1369075-10.5</f>
        <v>129.63690750000001</v>
      </c>
    </row>
    <row r="141" spans="1:4" x14ac:dyDescent="0.2">
      <c r="A141" s="12">
        <v>85</v>
      </c>
      <c r="B141" s="13">
        <v>2</v>
      </c>
      <c r="C141" s="14">
        <v>400</v>
      </c>
      <c r="D141" s="15">
        <v>119.79859500000002</v>
      </c>
    </row>
    <row r="142" spans="1:4" x14ac:dyDescent="0.2">
      <c r="A142" s="12">
        <v>86</v>
      </c>
      <c r="B142" s="13">
        <v>1</v>
      </c>
      <c r="C142" s="14">
        <v>400</v>
      </c>
      <c r="D142" s="15">
        <f>151.60032-9-57-9-9-24-1.8</f>
        <v>41.800320000000013</v>
      </c>
    </row>
    <row r="143" spans="1:4" x14ac:dyDescent="0.2">
      <c r="A143" s="12">
        <v>86</v>
      </c>
      <c r="B143" s="13">
        <v>2</v>
      </c>
      <c r="C143" s="14">
        <v>400</v>
      </c>
      <c r="D143" s="15">
        <f>125.07423-6-9</f>
        <v>110.07423</v>
      </c>
    </row>
    <row r="144" spans="1:4" x14ac:dyDescent="0.2">
      <c r="A144" s="12">
        <v>87</v>
      </c>
      <c r="B144" s="13">
        <v>1</v>
      </c>
      <c r="C144" s="14">
        <v>250</v>
      </c>
      <c r="D144" s="15">
        <f>36.66891-8.22-9-2.75-8.1-9</f>
        <v>-0.40109000000000172</v>
      </c>
    </row>
    <row r="145" spans="1:4" x14ac:dyDescent="0.2">
      <c r="A145" s="12">
        <v>87</v>
      </c>
      <c r="B145" s="13">
        <v>2</v>
      </c>
      <c r="C145" s="14">
        <v>250</v>
      </c>
      <c r="D145" s="15">
        <f>86.76279-9-9</f>
        <v>68.762789999999995</v>
      </c>
    </row>
    <row r="146" spans="1:4" x14ac:dyDescent="0.2">
      <c r="A146" s="12">
        <v>88</v>
      </c>
      <c r="B146" s="13">
        <v>1</v>
      </c>
      <c r="C146" s="14">
        <v>250</v>
      </c>
      <c r="D146" s="15">
        <f>107-9-21</f>
        <v>77</v>
      </c>
    </row>
    <row r="147" spans="1:4" x14ac:dyDescent="0.2">
      <c r="A147" s="12">
        <v>89</v>
      </c>
      <c r="B147" s="13">
        <v>1</v>
      </c>
      <c r="C147" s="14">
        <v>400</v>
      </c>
      <c r="D147" s="15">
        <f>136.91968-9-14.4-8.22-3-15-2.1</f>
        <v>85.199680000000001</v>
      </c>
    </row>
    <row r="148" spans="1:4" x14ac:dyDescent="0.2">
      <c r="A148" s="12">
        <v>90</v>
      </c>
      <c r="B148" s="13">
        <v>1</v>
      </c>
      <c r="C148" s="14">
        <v>250</v>
      </c>
      <c r="D148" s="15">
        <f>105.52689-9-9-9-30</f>
        <v>48.526889999999995</v>
      </c>
    </row>
    <row r="149" spans="1:4" x14ac:dyDescent="0.2">
      <c r="A149" s="12">
        <v>91</v>
      </c>
      <c r="B149" s="13">
        <v>1</v>
      </c>
      <c r="C149" s="14">
        <v>400</v>
      </c>
      <c r="D149" s="15">
        <f>146-6-6-6-12-9-3.6-9-6-9-15-6</f>
        <v>58.400000000000006</v>
      </c>
    </row>
    <row r="150" spans="1:4" x14ac:dyDescent="0.2">
      <c r="A150" s="12">
        <v>92</v>
      </c>
      <c r="B150" s="13">
        <v>1</v>
      </c>
      <c r="C150" s="14">
        <v>400</v>
      </c>
      <c r="D150" s="15">
        <f>139.2494175-6</f>
        <v>133.24941749999999</v>
      </c>
    </row>
    <row r="151" spans="1:4" x14ac:dyDescent="0.2">
      <c r="A151" s="12">
        <v>92</v>
      </c>
      <c r="B151" s="13">
        <v>2</v>
      </c>
      <c r="C151" s="14">
        <v>400</v>
      </c>
      <c r="D151" s="15">
        <f>179.40834-30-9</f>
        <v>140.40834000000001</v>
      </c>
    </row>
    <row r="152" spans="1:4" x14ac:dyDescent="0.2">
      <c r="A152" s="18">
        <v>92</v>
      </c>
      <c r="B152" s="19">
        <v>3</v>
      </c>
      <c r="C152" s="20">
        <v>630</v>
      </c>
      <c r="D152" s="15">
        <v>279.50629500000002</v>
      </c>
    </row>
    <row r="153" spans="1:4" x14ac:dyDescent="0.2">
      <c r="A153" s="12">
        <v>93</v>
      </c>
      <c r="B153" s="13">
        <v>1</v>
      </c>
      <c r="C153" s="14">
        <v>400</v>
      </c>
      <c r="D153" s="15">
        <f>179.556255-31.5</f>
        <v>148.05625499999999</v>
      </c>
    </row>
    <row r="154" spans="1:4" x14ac:dyDescent="0.2">
      <c r="A154" s="12">
        <v>93</v>
      </c>
      <c r="B154" s="13">
        <v>2</v>
      </c>
      <c r="C154" s="14">
        <v>400</v>
      </c>
      <c r="D154" s="15">
        <f>135.92133-15-31.5</f>
        <v>89.421330000000012</v>
      </c>
    </row>
    <row r="155" spans="1:4" x14ac:dyDescent="0.2">
      <c r="A155" s="12">
        <v>94</v>
      </c>
      <c r="B155" s="13">
        <v>1</v>
      </c>
      <c r="C155" s="14">
        <v>250</v>
      </c>
      <c r="D155" s="15">
        <f>76.70457-18-9-9</f>
        <v>40.704570000000004</v>
      </c>
    </row>
    <row r="156" spans="1:4" x14ac:dyDescent="0.2">
      <c r="A156" s="12">
        <v>94</v>
      </c>
      <c r="B156" s="13">
        <v>2</v>
      </c>
      <c r="C156" s="14">
        <v>250</v>
      </c>
      <c r="D156" s="15">
        <f>77.444145-4.2</f>
        <v>73.244145000000003</v>
      </c>
    </row>
    <row r="157" spans="1:4" x14ac:dyDescent="0.2">
      <c r="A157" s="12">
        <v>95</v>
      </c>
      <c r="B157" s="13">
        <v>1</v>
      </c>
      <c r="C157" s="14">
        <v>400</v>
      </c>
      <c r="D157" s="15">
        <f>120.28746-1.8-10.5-8.4-10.5-4.9-3.9-9-16.66</f>
        <v>54.627459999999985</v>
      </c>
    </row>
    <row r="158" spans="1:4" x14ac:dyDescent="0.2">
      <c r="A158" s="12">
        <v>96</v>
      </c>
      <c r="B158" s="13">
        <v>1</v>
      </c>
      <c r="C158" s="14">
        <v>400</v>
      </c>
      <c r="D158" s="15">
        <f>132.4453275-24.85-18.2-53.2</f>
        <v>36.195327499999991</v>
      </c>
    </row>
    <row r="159" spans="1:4" x14ac:dyDescent="0.2">
      <c r="A159" s="12">
        <v>96</v>
      </c>
      <c r="B159" s="13">
        <v>2</v>
      </c>
      <c r="C159" s="14">
        <v>400</v>
      </c>
      <c r="D159" s="15">
        <f>162.6199875-3.5-5.25</f>
        <v>153.86998750000001</v>
      </c>
    </row>
    <row r="160" spans="1:4" x14ac:dyDescent="0.2">
      <c r="A160" s="12">
        <v>97</v>
      </c>
      <c r="B160" s="13">
        <v>1</v>
      </c>
      <c r="C160" s="14">
        <v>630</v>
      </c>
      <c r="D160" s="15">
        <f>284-25.8</f>
        <v>258.2</v>
      </c>
    </row>
    <row r="161" spans="1:4" x14ac:dyDescent="0.2">
      <c r="A161" s="12">
        <v>97</v>
      </c>
      <c r="B161" s="13">
        <v>2</v>
      </c>
      <c r="C161" s="14">
        <v>630</v>
      </c>
      <c r="D161" s="15">
        <f>284-3-25.8</f>
        <v>255.2</v>
      </c>
    </row>
    <row r="162" spans="1:4" x14ac:dyDescent="0.2">
      <c r="A162" s="12">
        <v>98</v>
      </c>
      <c r="B162" s="13">
        <v>1</v>
      </c>
      <c r="C162" s="14">
        <v>630</v>
      </c>
      <c r="D162" s="15">
        <v>280.34448000000003</v>
      </c>
    </row>
    <row r="163" spans="1:4" x14ac:dyDescent="0.2">
      <c r="A163" s="12">
        <v>98</v>
      </c>
      <c r="B163" s="13">
        <v>2</v>
      </c>
      <c r="C163" s="14">
        <v>630</v>
      </c>
      <c r="D163" s="15">
        <v>152.15148000000002</v>
      </c>
    </row>
    <row r="164" spans="1:4" x14ac:dyDescent="0.2">
      <c r="A164" s="12">
        <v>99</v>
      </c>
      <c r="B164" s="13">
        <v>1</v>
      </c>
      <c r="C164" s="14">
        <v>250</v>
      </c>
      <c r="D164" s="15">
        <v>0</v>
      </c>
    </row>
    <row r="165" spans="1:4" x14ac:dyDescent="0.2">
      <c r="A165" s="12">
        <v>100</v>
      </c>
      <c r="B165" s="13">
        <v>1</v>
      </c>
      <c r="C165" s="14">
        <v>250</v>
      </c>
      <c r="D165" s="15">
        <f>88.8618-4.69-3.85-3.85-3.5-0.55-3.85</f>
        <v>68.571800000000025</v>
      </c>
    </row>
    <row r="166" spans="1:4" x14ac:dyDescent="0.2">
      <c r="A166" s="12">
        <v>100</v>
      </c>
      <c r="B166" s="13">
        <v>2</v>
      </c>
      <c r="C166" s="14">
        <v>250</v>
      </c>
      <c r="D166" s="15">
        <v>99</v>
      </c>
    </row>
    <row r="167" spans="1:4" x14ac:dyDescent="0.2">
      <c r="A167" s="12">
        <v>101</v>
      </c>
      <c r="B167" s="13">
        <v>1</v>
      </c>
      <c r="C167" s="14">
        <v>400</v>
      </c>
      <c r="D167" s="15">
        <f>150-9-13.5-8.1-19.5-14-9-9-0.6</f>
        <v>67.300000000000011</v>
      </c>
    </row>
    <row r="168" spans="1:4" x14ac:dyDescent="0.2">
      <c r="A168" s="12">
        <v>101</v>
      </c>
      <c r="B168" s="13">
        <v>2</v>
      </c>
      <c r="C168" s="14">
        <v>400</v>
      </c>
      <c r="D168" s="15">
        <v>0</v>
      </c>
    </row>
    <row r="169" spans="1:4" x14ac:dyDescent="0.2">
      <c r="A169" s="12">
        <v>102</v>
      </c>
      <c r="B169" s="13">
        <v>1</v>
      </c>
      <c r="C169" s="14">
        <v>400</v>
      </c>
      <c r="D169" s="15">
        <f>173.1219525-6-9-9-9-9-9-6.3-18-12</f>
        <v>85.821952499999995</v>
      </c>
    </row>
    <row r="170" spans="1:4" x14ac:dyDescent="0.2">
      <c r="A170" s="12">
        <v>102</v>
      </c>
      <c r="B170" s="13">
        <v>2</v>
      </c>
      <c r="C170" s="14">
        <v>400</v>
      </c>
      <c r="D170" s="15">
        <f>100.4956875-6-8.22-9-9-9-18-15.3-9-12</f>
        <v>4.9756875000000029</v>
      </c>
    </row>
    <row r="171" spans="1:4" x14ac:dyDescent="0.2">
      <c r="A171" s="12">
        <v>103</v>
      </c>
      <c r="B171" s="13">
        <v>1</v>
      </c>
      <c r="C171" s="14">
        <v>250</v>
      </c>
      <c r="D171" s="15">
        <f>83.53686-7-70</f>
        <v>6.5368600000000043</v>
      </c>
    </row>
    <row r="172" spans="1:4" x14ac:dyDescent="0.2">
      <c r="A172" s="12">
        <v>104</v>
      </c>
      <c r="B172" s="13">
        <v>1</v>
      </c>
      <c r="C172" s="14">
        <v>250</v>
      </c>
      <c r="D172" s="15">
        <f>80.9448-0.06-7-9-6.3</f>
        <v>58.584800000000001</v>
      </c>
    </row>
    <row r="173" spans="1:4" x14ac:dyDescent="0.2">
      <c r="A173" s="21">
        <v>104</v>
      </c>
      <c r="B173" s="22">
        <v>2</v>
      </c>
      <c r="C173" s="23">
        <v>250</v>
      </c>
      <c r="D173" s="15">
        <f>88.8336-9.3-6-0.06</f>
        <v>73.473600000000005</v>
      </c>
    </row>
    <row r="174" spans="1:4" x14ac:dyDescent="0.2">
      <c r="A174" s="12">
        <v>105</v>
      </c>
      <c r="B174" s="13">
        <v>1</v>
      </c>
      <c r="C174" s="14">
        <v>400</v>
      </c>
      <c r="D174" s="15">
        <f>149.677425-7-10.5-1.75-2.45-7.35</f>
        <v>120.627425</v>
      </c>
    </row>
    <row r="175" spans="1:4" x14ac:dyDescent="0.2">
      <c r="A175" s="12">
        <v>105</v>
      </c>
      <c r="B175" s="13">
        <v>2</v>
      </c>
      <c r="C175" s="14">
        <v>400</v>
      </c>
      <c r="D175" s="15">
        <f>75.6459675-3.5-9.59</f>
        <v>62.555967499999994</v>
      </c>
    </row>
    <row r="176" spans="1:4" x14ac:dyDescent="0.2">
      <c r="A176" s="12">
        <v>106</v>
      </c>
      <c r="B176" s="13">
        <v>1</v>
      </c>
      <c r="C176" s="14">
        <v>180</v>
      </c>
      <c r="D176" s="15">
        <f>104-1.05</f>
        <v>102.95</v>
      </c>
    </row>
    <row r="177" spans="1:4" x14ac:dyDescent="0.2">
      <c r="A177" s="12">
        <v>107</v>
      </c>
      <c r="B177" s="13">
        <v>1</v>
      </c>
      <c r="C177" s="14">
        <v>250</v>
      </c>
      <c r="D177" s="15">
        <f>98.00433-1.8</f>
        <v>96.204329999999999</v>
      </c>
    </row>
    <row r="178" spans="1:4" x14ac:dyDescent="0.2">
      <c r="A178" s="12">
        <v>107</v>
      </c>
      <c r="B178" s="13">
        <v>2</v>
      </c>
      <c r="C178" s="14">
        <v>250</v>
      </c>
      <c r="D178" s="14">
        <v>103</v>
      </c>
    </row>
    <row r="179" spans="1:4" x14ac:dyDescent="0.2">
      <c r="A179" s="12">
        <v>108</v>
      </c>
      <c r="B179" s="13">
        <v>1</v>
      </c>
      <c r="C179" s="14">
        <v>400</v>
      </c>
      <c r="D179" s="15">
        <v>0</v>
      </c>
    </row>
    <row r="180" spans="1:4" x14ac:dyDescent="0.2">
      <c r="A180" s="12">
        <v>108</v>
      </c>
      <c r="B180" s="13">
        <v>2</v>
      </c>
      <c r="C180" s="14">
        <v>400</v>
      </c>
      <c r="D180" s="15">
        <f>165.1345425-10.5-112.67-13.75</f>
        <v>28.214542500000007</v>
      </c>
    </row>
    <row r="181" spans="1:4" x14ac:dyDescent="0.2">
      <c r="A181" s="12">
        <v>109</v>
      </c>
      <c r="B181" s="13">
        <v>1</v>
      </c>
      <c r="C181" s="14">
        <v>400</v>
      </c>
      <c r="D181" s="15">
        <f>161.7324975-0.6</f>
        <v>161.1324975</v>
      </c>
    </row>
    <row r="182" spans="1:4" x14ac:dyDescent="0.2">
      <c r="A182" s="12">
        <v>109</v>
      </c>
      <c r="B182" s="13">
        <v>2</v>
      </c>
      <c r="C182" s="14">
        <v>400</v>
      </c>
      <c r="D182" s="15">
        <f>143.6868675-60</f>
        <v>83.686867500000005</v>
      </c>
    </row>
    <row r="183" spans="1:4" x14ac:dyDescent="0.2">
      <c r="A183" s="12">
        <v>110</v>
      </c>
      <c r="B183" s="13">
        <v>1</v>
      </c>
      <c r="C183" s="14">
        <v>250</v>
      </c>
      <c r="D183" s="15">
        <v>0</v>
      </c>
    </row>
    <row r="184" spans="1:4" x14ac:dyDescent="0.2">
      <c r="A184" s="12">
        <v>111</v>
      </c>
      <c r="B184" s="13">
        <v>1</v>
      </c>
      <c r="C184" s="14">
        <v>100</v>
      </c>
      <c r="D184" s="15">
        <v>0</v>
      </c>
    </row>
    <row r="185" spans="1:4" x14ac:dyDescent="0.2">
      <c r="A185" s="12">
        <v>111</v>
      </c>
      <c r="B185" s="13">
        <v>2</v>
      </c>
      <c r="C185" s="14">
        <v>100</v>
      </c>
      <c r="D185" s="14">
        <v>38</v>
      </c>
    </row>
    <row r="186" spans="1:4" x14ac:dyDescent="0.2">
      <c r="A186" s="12">
        <v>112</v>
      </c>
      <c r="B186" s="13">
        <v>1</v>
      </c>
      <c r="C186" s="14">
        <v>250</v>
      </c>
      <c r="D186" s="15">
        <v>148.15928</v>
      </c>
    </row>
    <row r="187" spans="1:4" x14ac:dyDescent="0.2">
      <c r="A187" s="12">
        <v>113</v>
      </c>
      <c r="B187" s="13">
        <v>1</v>
      </c>
      <c r="C187" s="14">
        <v>400</v>
      </c>
      <c r="D187" s="15">
        <f>141-70-35</f>
        <v>36</v>
      </c>
    </row>
    <row r="188" spans="1:4" x14ac:dyDescent="0.2">
      <c r="A188" s="12">
        <v>113</v>
      </c>
      <c r="B188" s="13">
        <v>2</v>
      </c>
      <c r="C188" s="14">
        <v>400</v>
      </c>
      <c r="D188" s="15">
        <f>131-70-56</f>
        <v>5</v>
      </c>
    </row>
    <row r="189" spans="1:4" x14ac:dyDescent="0.2">
      <c r="A189" s="12">
        <v>114</v>
      </c>
      <c r="B189" s="13">
        <v>1</v>
      </c>
      <c r="C189" s="14">
        <v>630</v>
      </c>
      <c r="D189" s="15">
        <f>214-15-9-9-18-6-6.3-7.8-9</f>
        <v>133.89999999999998</v>
      </c>
    </row>
    <row r="190" spans="1:4" x14ac:dyDescent="0.2">
      <c r="A190" s="12">
        <v>114</v>
      </c>
      <c r="B190" s="13">
        <v>2</v>
      </c>
      <c r="C190" s="14">
        <v>400</v>
      </c>
      <c r="D190" s="15">
        <f>172.99869-8.25-9-9-9-9-9</f>
        <v>119.74869000000001</v>
      </c>
    </row>
    <row r="191" spans="1:4" x14ac:dyDescent="0.2">
      <c r="A191" s="12">
        <v>115</v>
      </c>
      <c r="B191" s="13">
        <v>1</v>
      </c>
      <c r="C191" s="14">
        <v>400</v>
      </c>
      <c r="D191" s="15">
        <v>0</v>
      </c>
    </row>
    <row r="192" spans="1:4" x14ac:dyDescent="0.2">
      <c r="A192" s="12">
        <v>116</v>
      </c>
      <c r="B192" s="13">
        <v>1</v>
      </c>
      <c r="C192" s="14">
        <v>400</v>
      </c>
      <c r="D192" s="15">
        <f>180.43956-10.5-3.85-7-10.5</f>
        <v>148.58956000000001</v>
      </c>
    </row>
    <row r="193" spans="1:4" x14ac:dyDescent="0.2">
      <c r="A193" s="12">
        <v>117</v>
      </c>
      <c r="B193" s="13">
        <v>1</v>
      </c>
      <c r="C193" s="14">
        <v>400</v>
      </c>
      <c r="D193" s="15">
        <f>149.37741-10.5-2.1-10.5-7-10.5-7-10.5-14-1.33</f>
        <v>75.947410000000005</v>
      </c>
    </row>
    <row r="194" spans="1:4" x14ac:dyDescent="0.2">
      <c r="A194" s="12">
        <v>118</v>
      </c>
      <c r="B194" s="13">
        <v>1</v>
      </c>
      <c r="C194" s="14">
        <v>400</v>
      </c>
      <c r="D194" s="15">
        <v>145.97955000000002</v>
      </c>
    </row>
    <row r="195" spans="1:4" x14ac:dyDescent="0.2">
      <c r="A195" s="12">
        <v>118</v>
      </c>
      <c r="B195" s="13">
        <v>2</v>
      </c>
      <c r="C195" s="14">
        <v>315</v>
      </c>
      <c r="D195" s="15">
        <f>104.5493775-5.5-3.3-5</f>
        <v>90.749377500000008</v>
      </c>
    </row>
    <row r="196" spans="1:4" x14ac:dyDescent="0.2">
      <c r="A196" s="12">
        <v>119</v>
      </c>
      <c r="B196" s="13">
        <v>1</v>
      </c>
      <c r="C196" s="14">
        <v>400</v>
      </c>
      <c r="D196" s="15">
        <f>234.57645-0.6</f>
        <v>233.97645</v>
      </c>
    </row>
    <row r="197" spans="1:4" x14ac:dyDescent="0.2">
      <c r="A197" s="12">
        <v>120</v>
      </c>
      <c r="B197" s="13">
        <v>1</v>
      </c>
      <c r="C197" s="14">
        <v>400</v>
      </c>
      <c r="D197" s="15">
        <f>161.214795-8.25</f>
        <v>152.96479500000001</v>
      </c>
    </row>
    <row r="198" spans="1:4" x14ac:dyDescent="0.2">
      <c r="A198" s="12">
        <v>120</v>
      </c>
      <c r="B198" s="13">
        <v>2</v>
      </c>
      <c r="C198" s="14">
        <v>400</v>
      </c>
      <c r="D198" s="15">
        <v>152.56176750000003</v>
      </c>
    </row>
    <row r="199" spans="1:4" x14ac:dyDescent="0.2">
      <c r="A199" s="12">
        <v>121</v>
      </c>
      <c r="B199" s="13">
        <v>1</v>
      </c>
      <c r="C199" s="14">
        <v>400</v>
      </c>
      <c r="D199" s="15">
        <f>133.25886-15-3.12</f>
        <v>115.13885999999999</v>
      </c>
    </row>
    <row r="200" spans="1:4" x14ac:dyDescent="0.2">
      <c r="A200" s="12">
        <v>121</v>
      </c>
      <c r="B200" s="13">
        <v>2</v>
      </c>
      <c r="C200" s="14">
        <v>400</v>
      </c>
      <c r="D200" s="15">
        <v>147.82848749999999</v>
      </c>
    </row>
    <row r="201" spans="1:4" x14ac:dyDescent="0.2">
      <c r="A201" s="12">
        <v>122</v>
      </c>
      <c r="B201" s="13">
        <v>1</v>
      </c>
      <c r="C201" s="14">
        <v>400</v>
      </c>
      <c r="D201" s="15">
        <f>130.0786875-10.5-52.25-8.25-1.05</f>
        <v>58.028687500000004</v>
      </c>
    </row>
    <row r="202" spans="1:4" x14ac:dyDescent="0.2">
      <c r="A202" s="12">
        <v>122</v>
      </c>
      <c r="B202" s="13">
        <v>2</v>
      </c>
      <c r="C202" s="14">
        <v>400</v>
      </c>
      <c r="D202" s="15">
        <f>143.02125-52.25-11-2.75</f>
        <v>77.021250000000009</v>
      </c>
    </row>
    <row r="203" spans="1:4" x14ac:dyDescent="0.2">
      <c r="A203" s="12">
        <v>123</v>
      </c>
      <c r="B203" s="13">
        <v>1</v>
      </c>
      <c r="C203" s="14">
        <v>400</v>
      </c>
      <c r="D203" s="15">
        <f>160-6-9-6-9-9-7.2-7.2-6</f>
        <v>100.6</v>
      </c>
    </row>
    <row r="204" spans="1:4" x14ac:dyDescent="0.2">
      <c r="A204" s="12">
        <v>124</v>
      </c>
      <c r="B204" s="13">
        <v>1</v>
      </c>
      <c r="C204" s="14">
        <v>250</v>
      </c>
      <c r="D204" s="15">
        <v>0</v>
      </c>
    </row>
    <row r="205" spans="1:4" x14ac:dyDescent="0.2">
      <c r="A205" s="12">
        <v>124</v>
      </c>
      <c r="B205" s="13">
        <v>2</v>
      </c>
      <c r="C205" s="14">
        <v>250</v>
      </c>
      <c r="D205" s="15">
        <f>95.53908-3.6</f>
        <v>91.939080000000004</v>
      </c>
    </row>
    <row r="206" spans="1:4" x14ac:dyDescent="0.2">
      <c r="A206" s="12">
        <v>125</v>
      </c>
      <c r="B206" s="13">
        <v>1</v>
      </c>
      <c r="C206" s="14">
        <v>400</v>
      </c>
      <c r="D206" s="15">
        <f>132.815115-9-9-6-6-0.07-6</f>
        <v>96.745114999999998</v>
      </c>
    </row>
    <row r="207" spans="1:4" x14ac:dyDescent="0.2">
      <c r="A207" s="12">
        <v>125</v>
      </c>
      <c r="B207" s="13">
        <v>2</v>
      </c>
      <c r="C207" s="14">
        <v>400</v>
      </c>
      <c r="D207" s="15">
        <f>141.83793-6-0.54-0.3</f>
        <v>134.99793</v>
      </c>
    </row>
    <row r="208" spans="1:4" x14ac:dyDescent="0.2">
      <c r="A208" s="12">
        <v>126</v>
      </c>
      <c r="B208" s="13">
        <v>1</v>
      </c>
      <c r="C208" s="14">
        <v>400</v>
      </c>
      <c r="D208" s="15">
        <f>104.5756-6-3.3-9-6-4.8</f>
        <v>75.4756</v>
      </c>
    </row>
    <row r="209" spans="1:4" x14ac:dyDescent="0.2">
      <c r="A209" s="12">
        <v>127</v>
      </c>
      <c r="B209" s="13">
        <v>1</v>
      </c>
      <c r="C209" s="14">
        <v>315</v>
      </c>
      <c r="D209" s="15">
        <f>128.15763-6-7.8-7.14-0.16</f>
        <v>107.05763000000002</v>
      </c>
    </row>
    <row r="210" spans="1:4" x14ac:dyDescent="0.2">
      <c r="A210" s="12">
        <v>128</v>
      </c>
      <c r="B210" s="13">
        <v>1</v>
      </c>
      <c r="C210" s="14">
        <v>400</v>
      </c>
      <c r="D210" s="15">
        <f>142.5282-3.6-18</f>
        <v>120.9282</v>
      </c>
    </row>
    <row r="211" spans="1:4" x14ac:dyDescent="0.2">
      <c r="A211" s="12">
        <v>128</v>
      </c>
      <c r="B211" s="13">
        <v>2</v>
      </c>
      <c r="C211" s="14">
        <v>400</v>
      </c>
      <c r="D211" s="15">
        <f>96.87177-7.8-6-9-3-9-9-7.2</f>
        <v>45.871769999999998</v>
      </c>
    </row>
    <row r="212" spans="1:4" x14ac:dyDescent="0.2">
      <c r="A212" s="12">
        <v>129</v>
      </c>
      <c r="B212" s="13">
        <v>1</v>
      </c>
      <c r="C212" s="14">
        <v>250</v>
      </c>
      <c r="D212" s="15">
        <f>64.96998-18-3</f>
        <v>43.969980000000007</v>
      </c>
    </row>
    <row r="213" spans="1:4" x14ac:dyDescent="0.2">
      <c r="A213" s="12">
        <v>129</v>
      </c>
      <c r="B213" s="13">
        <v>2</v>
      </c>
      <c r="C213" s="14">
        <v>250</v>
      </c>
      <c r="D213" s="15">
        <f>99.18765-9-9</f>
        <v>81.187650000000005</v>
      </c>
    </row>
    <row r="214" spans="1:4" x14ac:dyDescent="0.2">
      <c r="A214" s="12">
        <v>130</v>
      </c>
      <c r="B214" s="13">
        <v>1</v>
      </c>
      <c r="C214" s="14">
        <v>400</v>
      </c>
      <c r="D214" s="15">
        <f>100.71756-5.5</f>
        <v>95.217560000000006</v>
      </c>
    </row>
    <row r="215" spans="1:4" x14ac:dyDescent="0.2">
      <c r="A215" s="12">
        <v>130</v>
      </c>
      <c r="B215" s="13">
        <v>2</v>
      </c>
      <c r="C215" s="14">
        <v>400</v>
      </c>
      <c r="D215" s="15">
        <f>153.76974-30-6</f>
        <v>117.76974000000001</v>
      </c>
    </row>
    <row r="216" spans="1:4" x14ac:dyDescent="0.2">
      <c r="A216" s="12">
        <v>131</v>
      </c>
      <c r="B216" s="13">
        <v>1</v>
      </c>
      <c r="C216" s="14">
        <v>400</v>
      </c>
      <c r="D216" s="15">
        <f>126.6766425-27.5-48.95</f>
        <v>50.226642499999997</v>
      </c>
    </row>
    <row r="217" spans="1:4" x14ac:dyDescent="0.2">
      <c r="A217" s="12">
        <v>131</v>
      </c>
      <c r="B217" s="13">
        <v>2</v>
      </c>
      <c r="C217" s="14">
        <v>400</v>
      </c>
      <c r="D217" s="15">
        <f>136.365075-27.5-82.5</f>
        <v>26.36507499999999</v>
      </c>
    </row>
    <row r="218" spans="1:4" x14ac:dyDescent="0.2">
      <c r="A218" s="12">
        <v>132</v>
      </c>
      <c r="B218" s="13">
        <v>1</v>
      </c>
      <c r="C218" s="14">
        <v>400</v>
      </c>
      <c r="D218" s="15">
        <f>200.68748-9</f>
        <v>191.68747999999999</v>
      </c>
    </row>
    <row r="219" spans="1:4" x14ac:dyDescent="0.2">
      <c r="A219" s="12">
        <v>133</v>
      </c>
      <c r="B219" s="13">
        <v>1</v>
      </c>
      <c r="C219" s="14">
        <v>400</v>
      </c>
      <c r="D219" s="15">
        <f>138.5838-24</f>
        <v>114.5838</v>
      </c>
    </row>
    <row r="220" spans="1:4" x14ac:dyDescent="0.2">
      <c r="A220" s="12">
        <v>133</v>
      </c>
      <c r="B220" s="13">
        <v>2</v>
      </c>
      <c r="C220" s="14">
        <v>400</v>
      </c>
      <c r="D220" s="15">
        <v>158.47836749999999</v>
      </c>
    </row>
    <row r="221" spans="1:4" x14ac:dyDescent="0.2">
      <c r="A221" s="12">
        <v>134</v>
      </c>
      <c r="B221" s="13">
        <v>1</v>
      </c>
      <c r="C221" s="14">
        <v>250</v>
      </c>
      <c r="D221" s="15">
        <v>0</v>
      </c>
    </row>
    <row r="222" spans="1:4" x14ac:dyDescent="0.2">
      <c r="A222" s="12">
        <v>134</v>
      </c>
      <c r="B222" s="13">
        <v>2</v>
      </c>
      <c r="C222" s="14">
        <v>250</v>
      </c>
      <c r="D222" s="15">
        <f>101.55429-9-9-0.07-9-9-12-9-9-8.25-6.3</f>
        <v>20.934290000000001</v>
      </c>
    </row>
    <row r="223" spans="1:4" x14ac:dyDescent="0.2">
      <c r="A223" s="12">
        <v>135</v>
      </c>
      <c r="B223" s="13">
        <v>1</v>
      </c>
      <c r="C223" s="14">
        <v>250</v>
      </c>
      <c r="D223" s="15">
        <f>77.88789-7.54-19.5-13.75-2.75</f>
        <v>34.347889999999992</v>
      </c>
    </row>
    <row r="224" spans="1:4" x14ac:dyDescent="0.2">
      <c r="A224" s="12">
        <v>135</v>
      </c>
      <c r="B224" s="13">
        <v>2</v>
      </c>
      <c r="C224" s="14">
        <v>250</v>
      </c>
      <c r="D224" s="15">
        <f>98.0782875-7.54-13.75</f>
        <v>76.788287499999996</v>
      </c>
    </row>
    <row r="225" spans="1:4" x14ac:dyDescent="0.2">
      <c r="A225" s="12">
        <v>136</v>
      </c>
      <c r="B225" s="13">
        <v>1</v>
      </c>
      <c r="C225" s="14">
        <v>630</v>
      </c>
      <c r="D225" s="15">
        <f>214.57161-6-6-6.3</f>
        <v>196.27160999999998</v>
      </c>
    </row>
    <row r="226" spans="1:4" x14ac:dyDescent="0.2">
      <c r="A226" s="12">
        <v>136</v>
      </c>
      <c r="B226" s="13">
        <v>2</v>
      </c>
      <c r="C226" s="14">
        <v>630</v>
      </c>
      <c r="D226" s="15">
        <f>224.82705</f>
        <v>224.82705000000001</v>
      </c>
    </row>
    <row r="227" spans="1:4" x14ac:dyDescent="0.2">
      <c r="A227" s="12">
        <v>137</v>
      </c>
      <c r="B227" s="13">
        <v>1</v>
      </c>
      <c r="C227" s="14">
        <v>400</v>
      </c>
      <c r="D227" s="15">
        <f>128.96514-5.5-5.5-5.5-8.25-5.5-8.25</f>
        <v>90.465139999999991</v>
      </c>
    </row>
    <row r="228" spans="1:4" x14ac:dyDescent="0.2">
      <c r="A228" s="12">
        <v>138</v>
      </c>
      <c r="B228" s="13">
        <v>1</v>
      </c>
      <c r="C228" s="14">
        <v>320</v>
      </c>
      <c r="D228" s="15">
        <f>120.92526-3.9-18-0.6-9-6.3-6-6.3</f>
        <v>70.82526</v>
      </c>
    </row>
    <row r="229" spans="1:4" x14ac:dyDescent="0.2">
      <c r="A229" s="12">
        <v>138</v>
      </c>
      <c r="B229" s="13">
        <v>2</v>
      </c>
      <c r="C229" s="14">
        <v>400</v>
      </c>
      <c r="D229" s="15">
        <f>80.453205-9-9-6.3-9-2.1</f>
        <v>45.053204999999998</v>
      </c>
    </row>
    <row r="230" spans="1:4" x14ac:dyDescent="0.2">
      <c r="A230" s="12">
        <v>139</v>
      </c>
      <c r="B230" s="13">
        <v>1</v>
      </c>
      <c r="C230" s="14">
        <v>400</v>
      </c>
      <c r="D230" s="15">
        <f>168.6845025-10.5</f>
        <v>158.18450250000001</v>
      </c>
    </row>
    <row r="231" spans="1:4" x14ac:dyDescent="0.2">
      <c r="A231" s="12">
        <v>139</v>
      </c>
      <c r="B231" s="13">
        <v>2</v>
      </c>
      <c r="C231" s="14">
        <v>250</v>
      </c>
      <c r="D231" s="15">
        <v>94.010625000000005</v>
      </c>
    </row>
    <row r="232" spans="1:4" x14ac:dyDescent="0.2">
      <c r="A232" s="12">
        <v>140</v>
      </c>
      <c r="B232" s="13">
        <v>1</v>
      </c>
      <c r="C232" s="14">
        <v>250</v>
      </c>
      <c r="D232" s="15">
        <f>100.4449275-16.5</f>
        <v>83.944927500000006</v>
      </c>
    </row>
    <row r="233" spans="1:4" x14ac:dyDescent="0.2">
      <c r="A233" s="12">
        <v>140</v>
      </c>
      <c r="B233" s="13">
        <v>2</v>
      </c>
      <c r="C233" s="14">
        <v>250</v>
      </c>
      <c r="D233" s="15">
        <v>108.35838000000001</v>
      </c>
    </row>
    <row r="234" spans="1:4" x14ac:dyDescent="0.2">
      <c r="A234" s="12">
        <v>141</v>
      </c>
      <c r="B234" s="13">
        <v>1</v>
      </c>
      <c r="C234" s="14">
        <v>400</v>
      </c>
      <c r="D234" s="15">
        <f>150.72508-6-3-9</f>
        <v>132.72507999999999</v>
      </c>
    </row>
    <row r="235" spans="1:4" x14ac:dyDescent="0.2">
      <c r="A235" s="12">
        <v>142</v>
      </c>
      <c r="B235" s="13">
        <v>1</v>
      </c>
      <c r="C235" s="14">
        <v>250</v>
      </c>
      <c r="D235" s="15">
        <f>62.2371-9-5.4-3.6-1.8-9-0.6-9</f>
        <v>23.8371</v>
      </c>
    </row>
    <row r="236" spans="1:4" x14ac:dyDescent="0.2">
      <c r="A236" s="12">
        <v>143</v>
      </c>
      <c r="B236" s="13">
        <v>1</v>
      </c>
      <c r="C236" s="14">
        <v>400</v>
      </c>
      <c r="D236" s="15">
        <f>144.7222725-0.6</f>
        <v>144.12227250000001</v>
      </c>
    </row>
    <row r="237" spans="1:4" x14ac:dyDescent="0.2">
      <c r="A237" s="12">
        <v>143</v>
      </c>
      <c r="B237" s="13">
        <v>2</v>
      </c>
      <c r="C237" s="14">
        <v>400</v>
      </c>
      <c r="D237" s="15">
        <v>166.24390500000001</v>
      </c>
    </row>
    <row r="238" spans="1:4" x14ac:dyDescent="0.2">
      <c r="A238" s="12">
        <v>144</v>
      </c>
      <c r="B238" s="13">
        <v>1</v>
      </c>
      <c r="C238" s="14">
        <v>250</v>
      </c>
      <c r="D238" s="15">
        <f>73.74627-12.6-9-0.54-4.2-9-9-9</f>
        <v>20.406269999999992</v>
      </c>
    </row>
    <row r="239" spans="1:4" x14ac:dyDescent="0.2">
      <c r="A239" s="12">
        <v>144</v>
      </c>
      <c r="B239" s="13">
        <v>2</v>
      </c>
      <c r="C239" s="14">
        <v>250</v>
      </c>
      <c r="D239" s="15">
        <v>0</v>
      </c>
    </row>
    <row r="240" spans="1:4" x14ac:dyDescent="0.2">
      <c r="A240" s="12">
        <v>145</v>
      </c>
      <c r="B240" s="13">
        <v>1</v>
      </c>
      <c r="C240" s="14">
        <v>400</v>
      </c>
      <c r="D240" s="15">
        <v>0</v>
      </c>
    </row>
    <row r="241" spans="1:4" x14ac:dyDescent="0.2">
      <c r="A241" s="12">
        <v>145</v>
      </c>
      <c r="B241" s="13">
        <v>2</v>
      </c>
      <c r="C241" s="14">
        <v>400</v>
      </c>
      <c r="D241" s="15">
        <f>135.52689-6-9-9-30</f>
        <v>81.526890000000009</v>
      </c>
    </row>
    <row r="242" spans="1:4" x14ac:dyDescent="0.2">
      <c r="A242" s="12">
        <v>147</v>
      </c>
      <c r="B242" s="13">
        <v>1</v>
      </c>
      <c r="C242" s="14">
        <v>250</v>
      </c>
      <c r="D242" s="15">
        <f>85.0617675-10.5</f>
        <v>74.561767500000002</v>
      </c>
    </row>
    <row r="243" spans="1:4" x14ac:dyDescent="0.2">
      <c r="A243" s="12">
        <v>147</v>
      </c>
      <c r="B243" s="13">
        <v>2</v>
      </c>
      <c r="C243" s="14">
        <v>400</v>
      </c>
      <c r="D243" s="15">
        <v>165.94807500000002</v>
      </c>
    </row>
    <row r="244" spans="1:4" x14ac:dyDescent="0.2">
      <c r="A244" s="12">
        <v>148</v>
      </c>
      <c r="B244" s="13">
        <v>1</v>
      </c>
      <c r="C244" s="14">
        <v>200</v>
      </c>
      <c r="D244" s="15">
        <v>76.710210000000004</v>
      </c>
    </row>
    <row r="245" spans="1:4" x14ac:dyDescent="0.2">
      <c r="A245" s="12">
        <v>149</v>
      </c>
      <c r="B245" s="13">
        <v>1</v>
      </c>
      <c r="C245" s="14">
        <v>250</v>
      </c>
      <c r="D245" s="15">
        <v>0</v>
      </c>
    </row>
    <row r="246" spans="1:4" x14ac:dyDescent="0.2">
      <c r="A246" s="12">
        <v>150</v>
      </c>
      <c r="B246" s="13">
        <v>1</v>
      </c>
      <c r="C246" s="14">
        <v>400</v>
      </c>
      <c r="D246" s="15">
        <f>137.40048-7.7-0.25-10.5-10.5</f>
        <v>108.45048</v>
      </c>
    </row>
    <row r="247" spans="1:4" x14ac:dyDescent="0.2">
      <c r="A247" s="12">
        <v>150</v>
      </c>
      <c r="B247" s="13">
        <v>2</v>
      </c>
      <c r="C247" s="14">
        <v>400</v>
      </c>
      <c r="D247" s="15">
        <f>127.194345-9.59-9.59-14</f>
        <v>94.014344999999992</v>
      </c>
    </row>
    <row r="248" spans="1:4" x14ac:dyDescent="0.2">
      <c r="A248" s="12">
        <v>151</v>
      </c>
      <c r="B248" s="13">
        <v>1</v>
      </c>
      <c r="C248" s="14">
        <v>400</v>
      </c>
      <c r="D248" s="15">
        <f>158.94258-10.5-10.5-10.5-1.4-10.5-10.5-10.5-10.5</f>
        <v>84.042579999999987</v>
      </c>
    </row>
    <row r="249" spans="1:4" x14ac:dyDescent="0.2">
      <c r="A249" s="12">
        <v>152</v>
      </c>
      <c r="B249" s="13">
        <v>1</v>
      </c>
      <c r="C249" s="14">
        <v>630</v>
      </c>
      <c r="D249" s="15">
        <f>254-20.4</f>
        <v>233.6</v>
      </c>
    </row>
    <row r="250" spans="1:4" x14ac:dyDescent="0.2">
      <c r="A250" s="12">
        <v>152</v>
      </c>
      <c r="B250" s="13">
        <v>2</v>
      </c>
      <c r="C250" s="14">
        <v>630</v>
      </c>
      <c r="D250" s="15">
        <v>208</v>
      </c>
    </row>
    <row r="251" spans="1:4" x14ac:dyDescent="0.2">
      <c r="A251" s="12">
        <v>153</v>
      </c>
      <c r="B251" s="13">
        <v>1</v>
      </c>
      <c r="C251" s="14">
        <v>250</v>
      </c>
      <c r="D251" s="15">
        <f>66.11576-8.22-9-9-3.3-6.3</f>
        <v>30.295759999999998</v>
      </c>
    </row>
    <row r="252" spans="1:4" x14ac:dyDescent="0.2">
      <c r="A252" s="12">
        <v>154</v>
      </c>
      <c r="B252" s="13">
        <v>1</v>
      </c>
      <c r="C252" s="14">
        <v>250</v>
      </c>
      <c r="D252" s="15">
        <f>83.33964-10.5-10.5-10.5</f>
        <v>51.839640000000003</v>
      </c>
    </row>
    <row r="253" spans="1:4" x14ac:dyDescent="0.2">
      <c r="A253" s="12">
        <v>155</v>
      </c>
      <c r="B253" s="13">
        <v>1</v>
      </c>
      <c r="C253" s="14">
        <v>630</v>
      </c>
      <c r="D253" s="15">
        <f>284-5.4</f>
        <v>278.60000000000002</v>
      </c>
    </row>
    <row r="254" spans="1:4" x14ac:dyDescent="0.2">
      <c r="A254" s="12">
        <v>155</v>
      </c>
      <c r="B254" s="13">
        <v>2</v>
      </c>
      <c r="C254" s="14">
        <v>630</v>
      </c>
      <c r="D254" s="15">
        <v>284</v>
      </c>
    </row>
    <row r="255" spans="1:4" x14ac:dyDescent="0.2">
      <c r="A255" s="12">
        <v>156</v>
      </c>
      <c r="B255" s="13">
        <v>1</v>
      </c>
      <c r="C255" s="14">
        <v>630</v>
      </c>
      <c r="D255" s="15">
        <v>226.50342000000001</v>
      </c>
    </row>
    <row r="256" spans="1:4" x14ac:dyDescent="0.2">
      <c r="A256" s="12">
        <v>156</v>
      </c>
      <c r="B256" s="13">
        <v>2</v>
      </c>
      <c r="C256" s="14">
        <v>630</v>
      </c>
      <c r="D256" s="15">
        <f>234.78666-9-180</f>
        <v>45.786660000000012</v>
      </c>
    </row>
    <row r="257" spans="1:4" x14ac:dyDescent="0.2">
      <c r="A257" s="12">
        <v>156</v>
      </c>
      <c r="B257" s="13">
        <v>3</v>
      </c>
      <c r="C257" s="14">
        <v>630</v>
      </c>
      <c r="D257" s="15">
        <f>184.10112-4.8</f>
        <v>179.30112</v>
      </c>
    </row>
    <row r="258" spans="1:4" x14ac:dyDescent="0.2">
      <c r="A258" s="12">
        <v>157</v>
      </c>
      <c r="B258" s="13">
        <v>1</v>
      </c>
      <c r="C258" s="14">
        <v>320</v>
      </c>
      <c r="D258" s="15">
        <f>84.1864-9-9-8-4.8-9-9-10.5-9</f>
        <v>15.886400000000009</v>
      </c>
    </row>
    <row r="259" spans="1:4" x14ac:dyDescent="0.2">
      <c r="A259" s="18">
        <v>158</v>
      </c>
      <c r="B259" s="19">
        <v>1</v>
      </c>
      <c r="C259" s="20">
        <v>400</v>
      </c>
      <c r="D259" s="15">
        <f>170.385525-16.5-22</f>
        <v>131.885525</v>
      </c>
    </row>
    <row r="260" spans="1:4" x14ac:dyDescent="0.2">
      <c r="A260" s="18">
        <v>158</v>
      </c>
      <c r="B260" s="19">
        <v>2</v>
      </c>
      <c r="C260" s="20">
        <v>400</v>
      </c>
      <c r="D260" s="15">
        <f>178.81668-3.3</f>
        <v>175.51667999999998</v>
      </c>
    </row>
    <row r="261" spans="1:4" x14ac:dyDescent="0.2">
      <c r="A261" s="12">
        <v>159</v>
      </c>
      <c r="B261" s="13">
        <v>1</v>
      </c>
      <c r="C261" s="14">
        <v>250</v>
      </c>
      <c r="D261" s="15">
        <f>105.42828-8.4-6.3</f>
        <v>90.728279999999998</v>
      </c>
    </row>
    <row r="262" spans="1:4" x14ac:dyDescent="0.2">
      <c r="A262" s="12">
        <v>160</v>
      </c>
      <c r="B262" s="13">
        <v>1</v>
      </c>
      <c r="C262" s="14">
        <v>400</v>
      </c>
      <c r="D262" s="15">
        <f>120.24234-21-7-10.5-2.1-10.5-10.5-25.9-10.5-4.9-3.5</f>
        <v>13.842340000000007</v>
      </c>
    </row>
    <row r="263" spans="1:4" x14ac:dyDescent="0.2">
      <c r="A263" s="12">
        <v>160</v>
      </c>
      <c r="B263" s="13">
        <v>2</v>
      </c>
      <c r="C263" s="14">
        <v>400</v>
      </c>
      <c r="D263" s="15">
        <v>0</v>
      </c>
    </row>
    <row r="264" spans="1:4" x14ac:dyDescent="0.2">
      <c r="A264" s="12">
        <v>161</v>
      </c>
      <c r="B264" s="13">
        <v>1</v>
      </c>
      <c r="C264" s="14">
        <v>250</v>
      </c>
      <c r="D264" s="15">
        <f>81.585765-12.93-2.75-8.25</f>
        <v>57.655765000000002</v>
      </c>
    </row>
    <row r="265" spans="1:4" x14ac:dyDescent="0.2">
      <c r="A265" s="12">
        <v>161</v>
      </c>
      <c r="B265" s="13">
        <v>2</v>
      </c>
      <c r="C265" s="14">
        <v>250</v>
      </c>
      <c r="D265" s="15">
        <f>88.7596425-0.55-8.25</f>
        <v>79.959642500000001</v>
      </c>
    </row>
    <row r="266" spans="1:4" x14ac:dyDescent="0.2">
      <c r="A266" s="12">
        <v>162</v>
      </c>
      <c r="B266" s="13">
        <v>1</v>
      </c>
      <c r="C266" s="14">
        <v>400</v>
      </c>
      <c r="D266" s="15">
        <f>160.4012625-18</f>
        <v>142.4012625</v>
      </c>
    </row>
    <row r="267" spans="1:4" x14ac:dyDescent="0.2">
      <c r="A267" s="12">
        <v>162</v>
      </c>
      <c r="B267" s="13">
        <v>2</v>
      </c>
      <c r="C267" s="14">
        <v>400</v>
      </c>
      <c r="D267" s="15">
        <f>147.9764025-3.6</f>
        <v>144.37640250000001</v>
      </c>
    </row>
    <row r="268" spans="1:4" x14ac:dyDescent="0.2">
      <c r="A268" s="12">
        <v>163</v>
      </c>
      <c r="B268" s="13">
        <v>1</v>
      </c>
      <c r="C268" s="14">
        <v>250</v>
      </c>
      <c r="D268" s="15">
        <v>0</v>
      </c>
    </row>
    <row r="269" spans="1:4" x14ac:dyDescent="0.2">
      <c r="A269" s="12">
        <v>164</v>
      </c>
      <c r="B269" s="13">
        <v>1</v>
      </c>
      <c r="C269" s="14">
        <v>400</v>
      </c>
      <c r="D269" s="15">
        <f>148-6-15.4-5.4</f>
        <v>121.19999999999999</v>
      </c>
    </row>
    <row r="270" spans="1:4" x14ac:dyDescent="0.2">
      <c r="A270" s="12">
        <v>165</v>
      </c>
      <c r="B270" s="13">
        <v>1</v>
      </c>
      <c r="C270" s="14">
        <v>400</v>
      </c>
      <c r="D270" s="15">
        <v>180</v>
      </c>
    </row>
    <row r="271" spans="1:4" x14ac:dyDescent="0.2">
      <c r="A271" s="12">
        <v>165</v>
      </c>
      <c r="B271" s="13">
        <v>2</v>
      </c>
      <c r="C271" s="14">
        <v>400</v>
      </c>
      <c r="D271" s="15">
        <v>180</v>
      </c>
    </row>
    <row r="272" spans="1:4" x14ac:dyDescent="0.2">
      <c r="A272" s="12">
        <v>166</v>
      </c>
      <c r="B272" s="13">
        <v>1</v>
      </c>
      <c r="C272" s="14">
        <v>400</v>
      </c>
      <c r="D272" s="15">
        <f>133.10676-30-9-9-3-0.6-5.4-27</f>
        <v>49.106760000000008</v>
      </c>
    </row>
    <row r="273" spans="1:4" x14ac:dyDescent="0.2">
      <c r="A273" s="12">
        <v>167</v>
      </c>
      <c r="B273" s="13">
        <v>1</v>
      </c>
      <c r="C273" s="14">
        <v>400</v>
      </c>
      <c r="D273" s="15">
        <f>161.2887525-0.14-48-52.5-0.3</f>
        <v>60.348752500000003</v>
      </c>
    </row>
    <row r="274" spans="1:4" x14ac:dyDescent="0.2">
      <c r="A274" s="12">
        <v>167</v>
      </c>
      <c r="B274" s="13">
        <v>2</v>
      </c>
      <c r="C274" s="14">
        <v>400</v>
      </c>
      <c r="D274" s="15">
        <f>160.47522-0.14-52.5</f>
        <v>107.83522000000002</v>
      </c>
    </row>
    <row r="275" spans="1:4" x14ac:dyDescent="0.2">
      <c r="A275" s="12">
        <v>168</v>
      </c>
      <c r="B275" s="13">
        <v>1</v>
      </c>
      <c r="C275" s="14">
        <v>400</v>
      </c>
      <c r="D275" s="15">
        <f>122.55549-49-10.5-7-6-5.78</f>
        <v>44.275490000000005</v>
      </c>
    </row>
    <row r="276" spans="1:4" x14ac:dyDescent="0.2">
      <c r="A276" s="12">
        <v>169</v>
      </c>
      <c r="B276" s="13">
        <v>1</v>
      </c>
      <c r="C276" s="14">
        <v>400</v>
      </c>
      <c r="D276" s="15">
        <f>120.18885-7-2.1-8.22-5.6-7-9.59-4.9</f>
        <v>75.778850000000006</v>
      </c>
    </row>
    <row r="277" spans="1:4" x14ac:dyDescent="0.2">
      <c r="A277" s="12">
        <v>170</v>
      </c>
      <c r="B277" s="13">
        <v>1</v>
      </c>
      <c r="C277" s="14">
        <v>400</v>
      </c>
      <c r="D277" s="15">
        <f>149.96907-9-7-7.35</f>
        <v>126.61906999999999</v>
      </c>
    </row>
    <row r="278" spans="1:4" x14ac:dyDescent="0.2">
      <c r="A278" s="12">
        <v>171</v>
      </c>
      <c r="B278" s="13">
        <v>1</v>
      </c>
      <c r="C278" s="14">
        <v>250</v>
      </c>
      <c r="D278" s="15">
        <f>95.785605-10.5-3.5-10.5</f>
        <v>71.285605000000004</v>
      </c>
    </row>
    <row r="279" spans="1:4" x14ac:dyDescent="0.2">
      <c r="A279" s="12">
        <v>171</v>
      </c>
      <c r="B279" s="13">
        <v>2</v>
      </c>
      <c r="C279" s="14">
        <v>250</v>
      </c>
      <c r="D279" s="15">
        <f>80.994105-3.5</f>
        <v>77.494105000000005</v>
      </c>
    </row>
    <row r="280" spans="1:4" x14ac:dyDescent="0.2">
      <c r="A280" s="12">
        <v>172</v>
      </c>
      <c r="B280" s="13">
        <v>1</v>
      </c>
      <c r="C280" s="14">
        <v>320</v>
      </c>
      <c r="D280" s="15">
        <f>111.73146-19.47</f>
        <v>92.26146</v>
      </c>
    </row>
    <row r="281" spans="1:4" x14ac:dyDescent="0.2">
      <c r="A281" s="16">
        <v>173</v>
      </c>
      <c r="B281" s="13">
        <v>1</v>
      </c>
      <c r="C281" s="17">
        <v>630</v>
      </c>
      <c r="D281" s="15">
        <f>256.8013425-31.5-43-10.5</f>
        <v>171.80134249999998</v>
      </c>
    </row>
    <row r="282" spans="1:4" x14ac:dyDescent="0.2">
      <c r="A282" s="16">
        <v>173</v>
      </c>
      <c r="B282" s="13">
        <v>2</v>
      </c>
      <c r="C282" s="17">
        <v>630</v>
      </c>
      <c r="D282" s="15">
        <v>247.92644249999998</v>
      </c>
    </row>
    <row r="283" spans="1:4" x14ac:dyDescent="0.2">
      <c r="A283" s="12">
        <v>174</v>
      </c>
      <c r="B283" s="13">
        <v>1</v>
      </c>
      <c r="C283" s="14">
        <v>250</v>
      </c>
      <c r="D283" s="15">
        <f>94.15854-7</f>
        <v>87.158540000000002</v>
      </c>
    </row>
    <row r="284" spans="1:4" x14ac:dyDescent="0.2">
      <c r="A284" s="12">
        <v>174</v>
      </c>
      <c r="B284" s="13">
        <v>2</v>
      </c>
      <c r="C284" s="14">
        <v>250</v>
      </c>
      <c r="D284" s="15">
        <f>44.4591-2.1-7-7-3.85</f>
        <v>24.509099999999997</v>
      </c>
    </row>
    <row r="285" spans="1:4" x14ac:dyDescent="0.2">
      <c r="A285" s="12">
        <v>176</v>
      </c>
      <c r="B285" s="13">
        <v>1</v>
      </c>
      <c r="C285" s="14">
        <v>400</v>
      </c>
      <c r="D285" s="15">
        <f>182.60898-7.54-10.15-3.5</f>
        <v>161.41898</v>
      </c>
    </row>
    <row r="286" spans="1:4" x14ac:dyDescent="0.2">
      <c r="A286" s="12">
        <v>175</v>
      </c>
      <c r="B286" s="13">
        <v>1</v>
      </c>
      <c r="C286" s="14">
        <v>250</v>
      </c>
      <c r="D286" s="15">
        <v>150</v>
      </c>
    </row>
    <row r="287" spans="1:4" x14ac:dyDescent="0.2">
      <c r="A287" s="12">
        <v>177</v>
      </c>
      <c r="B287" s="13">
        <v>1</v>
      </c>
      <c r="C287" s="14">
        <v>400</v>
      </c>
      <c r="D287" s="15">
        <f>131.72622-10.45-5.5-5.6-8.25-8.25-8.25-5.78</f>
        <v>79.646220000000014</v>
      </c>
    </row>
    <row r="288" spans="1:4" x14ac:dyDescent="0.2">
      <c r="A288" s="12">
        <v>178</v>
      </c>
      <c r="B288" s="13">
        <v>1</v>
      </c>
      <c r="C288" s="14">
        <v>400</v>
      </c>
      <c r="D288" s="15">
        <f>143.26359-10.5-10.5-5.6-9.59-7.35-10.5-17.5-10.5-10.5-10.5-10.5</f>
        <v>29.723590000000002</v>
      </c>
    </row>
    <row r="289" spans="1:4" x14ac:dyDescent="0.2">
      <c r="A289" s="12">
        <v>179</v>
      </c>
      <c r="B289" s="13">
        <v>1</v>
      </c>
      <c r="C289" s="14">
        <v>400</v>
      </c>
      <c r="D289" s="15">
        <f>177-3.6-3-21-17.5-9-6-9</f>
        <v>107.9</v>
      </c>
    </row>
    <row r="290" spans="1:4" x14ac:dyDescent="0.2">
      <c r="A290" s="16">
        <v>180</v>
      </c>
      <c r="B290" s="13">
        <v>1</v>
      </c>
      <c r="C290" s="17">
        <v>250</v>
      </c>
      <c r="D290" s="15">
        <f>92.9012625-10.5-9.59-10.5-4.2-7-10.5</f>
        <v>40.611262499999995</v>
      </c>
    </row>
    <row r="291" spans="1:4" x14ac:dyDescent="0.2">
      <c r="A291" s="16">
        <v>180</v>
      </c>
      <c r="B291" s="13">
        <v>2</v>
      </c>
      <c r="C291" s="17">
        <v>250</v>
      </c>
      <c r="D291" s="15">
        <v>0</v>
      </c>
    </row>
    <row r="292" spans="1:4" x14ac:dyDescent="0.2">
      <c r="A292" s="12">
        <v>181</v>
      </c>
      <c r="B292" s="13">
        <v>1</v>
      </c>
      <c r="C292" s="14">
        <v>400</v>
      </c>
      <c r="D292" s="15">
        <f>152.2371-17.1</f>
        <v>135.1371</v>
      </c>
    </row>
    <row r="293" spans="1:4" x14ac:dyDescent="0.2">
      <c r="A293" s="16">
        <v>182</v>
      </c>
      <c r="B293" s="13">
        <v>1</v>
      </c>
      <c r="C293" s="17">
        <v>400</v>
      </c>
      <c r="D293" s="15">
        <f>125.02074-7-10.5-10.5-7-10.5</f>
        <v>79.520740000000004</v>
      </c>
    </row>
    <row r="294" spans="1:4" x14ac:dyDescent="0.2">
      <c r="A294" s="12">
        <v>183</v>
      </c>
      <c r="B294" s="13">
        <v>1</v>
      </c>
      <c r="C294" s="14">
        <v>250</v>
      </c>
      <c r="D294" s="15">
        <v>98.522032499999995</v>
      </c>
    </row>
    <row r="295" spans="1:4" x14ac:dyDescent="0.2">
      <c r="A295" s="12">
        <v>183</v>
      </c>
      <c r="B295" s="13">
        <v>2</v>
      </c>
      <c r="C295" s="14">
        <v>250</v>
      </c>
      <c r="D295" s="15">
        <f>67.7557125-8.5-3.85-1.38-5.5</f>
        <v>48.525712499999997</v>
      </c>
    </row>
    <row r="296" spans="1:4" x14ac:dyDescent="0.2">
      <c r="A296" s="16">
        <v>184</v>
      </c>
      <c r="B296" s="13">
        <v>1</v>
      </c>
      <c r="C296" s="17">
        <v>400</v>
      </c>
      <c r="D296" s="15">
        <v>0</v>
      </c>
    </row>
    <row r="297" spans="1:4" x14ac:dyDescent="0.2">
      <c r="A297" s="16">
        <v>184</v>
      </c>
      <c r="B297" s="13">
        <v>2</v>
      </c>
      <c r="C297" s="17">
        <v>250</v>
      </c>
      <c r="D297" s="15">
        <f>79.810785-10.5-10.5-10.5-9.1-7.35</f>
        <v>31.860784999999993</v>
      </c>
    </row>
    <row r="298" spans="1:4" x14ac:dyDescent="0.2">
      <c r="A298" s="12">
        <v>185</v>
      </c>
      <c r="B298" s="13">
        <v>1</v>
      </c>
      <c r="C298" s="14">
        <v>630</v>
      </c>
      <c r="D298" s="15">
        <f>240.99909-8.25</f>
        <v>232.74909</v>
      </c>
    </row>
    <row r="299" spans="1:4" x14ac:dyDescent="0.2">
      <c r="A299" s="12">
        <v>185</v>
      </c>
      <c r="B299" s="13">
        <v>2</v>
      </c>
      <c r="C299" s="14">
        <v>630</v>
      </c>
      <c r="D299" s="15">
        <v>282.51390000000004</v>
      </c>
    </row>
    <row r="300" spans="1:4" x14ac:dyDescent="0.2">
      <c r="A300" s="12">
        <v>186</v>
      </c>
      <c r="B300" s="13">
        <v>1</v>
      </c>
      <c r="C300" s="14">
        <v>250</v>
      </c>
      <c r="D300" s="15">
        <f>89.3513025-7-3.5</f>
        <v>78.851302500000003</v>
      </c>
    </row>
    <row r="301" spans="1:4" x14ac:dyDescent="0.2">
      <c r="A301" s="12">
        <v>186</v>
      </c>
      <c r="B301" s="13">
        <v>2</v>
      </c>
      <c r="C301" s="14">
        <v>250</v>
      </c>
      <c r="D301" s="15">
        <f>77.59206-4.55-16.1</f>
        <v>56.942060000000005</v>
      </c>
    </row>
    <row r="302" spans="1:4" x14ac:dyDescent="0.2">
      <c r="A302" s="12">
        <v>187</v>
      </c>
      <c r="B302" s="13">
        <v>1</v>
      </c>
      <c r="C302" s="14">
        <v>400</v>
      </c>
      <c r="D302" s="15">
        <f>177.18543-8.25-10.37-8.25-8.25-4.4-8.25-8.25-8.25-10.5-8.25-8.25-8.25-8.25-5.5-8.25-5.5-5.5</f>
        <v>44.665429999999986</v>
      </c>
    </row>
    <row r="303" spans="1:4" x14ac:dyDescent="0.2">
      <c r="A303" s="12">
        <v>188</v>
      </c>
      <c r="B303" s="13">
        <v>1</v>
      </c>
      <c r="C303" s="14">
        <v>250</v>
      </c>
      <c r="D303" s="15">
        <v>0</v>
      </c>
    </row>
    <row r="304" spans="1:4" x14ac:dyDescent="0.2">
      <c r="A304" s="12">
        <v>189</v>
      </c>
      <c r="B304" s="13">
        <v>1</v>
      </c>
      <c r="C304" s="14">
        <v>160</v>
      </c>
      <c r="D304" s="15">
        <v>0</v>
      </c>
    </row>
    <row r="305" spans="1:4" x14ac:dyDescent="0.2">
      <c r="A305" s="16">
        <v>190</v>
      </c>
      <c r="B305" s="13">
        <v>1</v>
      </c>
      <c r="C305" s="17">
        <v>400</v>
      </c>
      <c r="D305" s="15">
        <f>119.1329775-16.5</f>
        <v>102.6329775</v>
      </c>
    </row>
    <row r="306" spans="1:4" x14ac:dyDescent="0.2">
      <c r="A306" s="16">
        <v>190</v>
      </c>
      <c r="B306" s="13">
        <v>2</v>
      </c>
      <c r="C306" s="17">
        <v>400</v>
      </c>
      <c r="D306" s="15">
        <v>161.06688</v>
      </c>
    </row>
    <row r="307" spans="1:4" x14ac:dyDescent="0.2">
      <c r="A307" s="12">
        <v>191</v>
      </c>
      <c r="B307" s="13">
        <v>1</v>
      </c>
      <c r="C307" s="14">
        <v>250</v>
      </c>
      <c r="D307" s="15">
        <f>82-5.5-2.75-8.25-8.25-5.78-11</f>
        <v>40.47</v>
      </c>
    </row>
    <row r="308" spans="1:4" x14ac:dyDescent="0.2">
      <c r="A308" s="12">
        <v>191</v>
      </c>
      <c r="B308" s="13">
        <v>2</v>
      </c>
      <c r="C308" s="14">
        <v>250</v>
      </c>
      <c r="D308" s="15">
        <f>84-8.25-0.55-16.5-2.75-5.78</f>
        <v>50.17</v>
      </c>
    </row>
    <row r="309" spans="1:4" x14ac:dyDescent="0.2">
      <c r="A309" s="12">
        <v>192</v>
      </c>
      <c r="B309" s="13">
        <v>1</v>
      </c>
      <c r="C309" s="14">
        <v>400</v>
      </c>
      <c r="D309" s="15">
        <f>155.9638125-1.65-8.25-10.5-5.5-5.5-8.25-5</f>
        <v>111.31381249999998</v>
      </c>
    </row>
    <row r="310" spans="1:4" x14ac:dyDescent="0.2">
      <c r="A310" s="12">
        <v>192</v>
      </c>
      <c r="B310" s="13">
        <v>2</v>
      </c>
      <c r="C310" s="14">
        <v>400</v>
      </c>
      <c r="D310" s="15">
        <f>165.2085-8.25-8.25-5.5-5.5-1.65-8.25-8.25-8.25</f>
        <v>111.30849999999998</v>
      </c>
    </row>
    <row r="311" spans="1:4" x14ac:dyDescent="0.2">
      <c r="A311" s="12">
        <v>193</v>
      </c>
      <c r="B311" s="13">
        <v>1</v>
      </c>
      <c r="C311" s="14">
        <v>400</v>
      </c>
      <c r="D311" s="15">
        <f>141-0.55-8.25</f>
        <v>132.19999999999999</v>
      </c>
    </row>
    <row r="312" spans="1:4" x14ac:dyDescent="0.2">
      <c r="A312" s="12">
        <v>193</v>
      </c>
      <c r="B312" s="13">
        <v>2</v>
      </c>
      <c r="C312" s="14">
        <v>250</v>
      </c>
      <c r="D312" s="15">
        <v>0</v>
      </c>
    </row>
    <row r="313" spans="1:4" x14ac:dyDescent="0.2">
      <c r="A313" s="16">
        <v>194</v>
      </c>
      <c r="B313" s="13">
        <v>1</v>
      </c>
      <c r="C313" s="17">
        <v>400</v>
      </c>
      <c r="D313" s="15">
        <v>204.40178999999998</v>
      </c>
    </row>
    <row r="314" spans="1:4" x14ac:dyDescent="0.2">
      <c r="A314" s="12">
        <v>195</v>
      </c>
      <c r="B314" s="13">
        <v>1</v>
      </c>
      <c r="C314" s="14">
        <v>160</v>
      </c>
      <c r="D314" s="15">
        <f>68.2281675-5.5-8.25-8.25</f>
        <v>46.228167499999998</v>
      </c>
    </row>
    <row r="315" spans="1:4" x14ac:dyDescent="0.2">
      <c r="A315" s="12">
        <v>195</v>
      </c>
      <c r="B315" s="13">
        <v>2</v>
      </c>
      <c r="C315" s="14">
        <v>160</v>
      </c>
      <c r="D315" s="15">
        <v>0</v>
      </c>
    </row>
    <row r="316" spans="1:4" x14ac:dyDescent="0.2">
      <c r="A316" s="12">
        <v>196</v>
      </c>
      <c r="B316" s="13">
        <v>1</v>
      </c>
      <c r="C316" s="14">
        <v>400</v>
      </c>
      <c r="D316" s="15">
        <v>0</v>
      </c>
    </row>
    <row r="317" spans="1:4" x14ac:dyDescent="0.2">
      <c r="A317" s="12">
        <v>196</v>
      </c>
      <c r="B317" s="13">
        <v>2</v>
      </c>
      <c r="C317" s="14">
        <v>400</v>
      </c>
      <c r="D317" s="15">
        <f>160.77105-4.4-5.5-29.5-8.25-7.53-5.5-7.53-8.25-8.25-2.75-8.25-8.25-5.78-8.25-8.25-8.25-3.03-11.55</f>
        <v>11.701049999999992</v>
      </c>
    </row>
    <row r="318" spans="1:4" x14ac:dyDescent="0.2">
      <c r="A318" s="12">
        <v>197</v>
      </c>
      <c r="B318" s="13">
        <v>1</v>
      </c>
      <c r="C318" s="14">
        <v>250</v>
      </c>
      <c r="D318" s="15">
        <v>102.885525</v>
      </c>
    </row>
    <row r="319" spans="1:4" x14ac:dyDescent="0.2">
      <c r="A319" s="12">
        <v>197</v>
      </c>
      <c r="B319" s="13">
        <v>2</v>
      </c>
      <c r="C319" s="14">
        <v>250</v>
      </c>
      <c r="D319" s="15">
        <f>102.44178-0.7-28-16.1-23.1</f>
        <v>34.541779999999989</v>
      </c>
    </row>
    <row r="320" spans="1:4" x14ac:dyDescent="0.2">
      <c r="A320" s="16">
        <v>198</v>
      </c>
      <c r="B320" s="13">
        <v>1</v>
      </c>
      <c r="C320" s="17">
        <v>315</v>
      </c>
      <c r="D320" s="15">
        <f>96.1182225-5.25</f>
        <v>90.868222500000002</v>
      </c>
    </row>
    <row r="321" spans="1:4" x14ac:dyDescent="0.2">
      <c r="A321" s="16">
        <v>198</v>
      </c>
      <c r="B321" s="13">
        <v>2</v>
      </c>
      <c r="C321" s="17">
        <v>315</v>
      </c>
      <c r="D321" s="15">
        <f>119.1929625-7.7</f>
        <v>111.49296249999999</v>
      </c>
    </row>
    <row r="322" spans="1:4" x14ac:dyDescent="0.2">
      <c r="A322" s="16">
        <v>199</v>
      </c>
      <c r="B322" s="13">
        <v>1</v>
      </c>
      <c r="C322" s="17">
        <v>400</v>
      </c>
      <c r="D322" s="15">
        <f>160.031475-14</f>
        <v>146.031475</v>
      </c>
    </row>
    <row r="323" spans="1:4" x14ac:dyDescent="0.2">
      <c r="A323" s="16">
        <v>199</v>
      </c>
      <c r="B323" s="13">
        <v>2</v>
      </c>
      <c r="C323" s="17">
        <v>400</v>
      </c>
      <c r="D323" s="15">
        <f>156.185685-7-0.7-73.5</f>
        <v>74.985685000000018</v>
      </c>
    </row>
    <row r="324" spans="1:4" x14ac:dyDescent="0.2">
      <c r="A324" s="12">
        <v>200</v>
      </c>
      <c r="B324" s="13">
        <v>1</v>
      </c>
      <c r="C324" s="14">
        <v>630</v>
      </c>
      <c r="D324" s="15">
        <f>225.1475325-4.4-2.75-8.25-5.5-5.5-5.5-19.25-5.7-8.25-5.78</f>
        <v>154.26753250000002</v>
      </c>
    </row>
    <row r="325" spans="1:4" x14ac:dyDescent="0.2">
      <c r="A325" s="12">
        <v>200</v>
      </c>
      <c r="B325" s="13">
        <v>2</v>
      </c>
      <c r="C325" s="14">
        <v>630</v>
      </c>
      <c r="D325" s="15">
        <f>227.3662575-0.5</f>
        <v>226.86625749999999</v>
      </c>
    </row>
    <row r="326" spans="1:4" x14ac:dyDescent="0.2">
      <c r="A326" s="12">
        <v>201</v>
      </c>
      <c r="B326" s="13">
        <v>1</v>
      </c>
      <c r="C326" s="14">
        <v>400</v>
      </c>
      <c r="D326" s="15">
        <f>193.06164-10.5-7.35-7.63-21.7</f>
        <v>145.88164000000003</v>
      </c>
    </row>
    <row r="327" spans="1:4" x14ac:dyDescent="0.2">
      <c r="A327" s="12">
        <v>202</v>
      </c>
      <c r="B327" s="13">
        <v>1</v>
      </c>
      <c r="C327" s="14">
        <v>400</v>
      </c>
      <c r="D327" s="15">
        <f>150.06768-24-9-4.56</f>
        <v>112.50767999999999</v>
      </c>
    </row>
    <row r="328" spans="1:4" x14ac:dyDescent="0.2">
      <c r="A328" s="12">
        <v>203</v>
      </c>
      <c r="B328" s="13">
        <v>1</v>
      </c>
      <c r="C328" s="14">
        <v>400</v>
      </c>
      <c r="D328" s="15">
        <f>156.28011-10.5-10.5-4.9-10.5-10.5-10.5-7-10.5-14</f>
        <v>67.380110000000002</v>
      </c>
    </row>
    <row r="329" spans="1:4" x14ac:dyDescent="0.2">
      <c r="A329" s="12">
        <v>204</v>
      </c>
      <c r="B329" s="13">
        <v>1</v>
      </c>
      <c r="C329" s="14">
        <v>400</v>
      </c>
      <c r="D329" s="15">
        <v>144.57435749999999</v>
      </c>
    </row>
    <row r="330" spans="1:4" x14ac:dyDescent="0.2">
      <c r="A330" s="12">
        <v>204</v>
      </c>
      <c r="B330" s="13">
        <v>2</v>
      </c>
      <c r="C330" s="14">
        <v>400</v>
      </c>
      <c r="D330" s="15">
        <f>93.6915975-8.05</f>
        <v>85.641597500000003</v>
      </c>
    </row>
    <row r="331" spans="1:4" x14ac:dyDescent="0.2">
      <c r="A331" s="12">
        <v>205</v>
      </c>
      <c r="B331" s="13">
        <v>1</v>
      </c>
      <c r="C331" s="14">
        <v>400</v>
      </c>
      <c r="D331" s="15">
        <f>205.38789-3-9</f>
        <v>193.38789</v>
      </c>
    </row>
    <row r="332" spans="1:4" x14ac:dyDescent="0.2">
      <c r="A332" s="12">
        <v>206</v>
      </c>
      <c r="B332" s="13">
        <v>1</v>
      </c>
      <c r="C332" s="14">
        <v>160</v>
      </c>
      <c r="D332" s="15">
        <v>0</v>
      </c>
    </row>
    <row r="333" spans="1:4" x14ac:dyDescent="0.2">
      <c r="A333" s="12">
        <v>207</v>
      </c>
      <c r="B333" s="13">
        <v>1</v>
      </c>
      <c r="C333" s="14">
        <v>400</v>
      </c>
      <c r="D333" s="15">
        <f>152.1180225-9-6</f>
        <v>137.1180225</v>
      </c>
    </row>
    <row r="334" spans="1:4" x14ac:dyDescent="0.2">
      <c r="A334" s="12">
        <v>207</v>
      </c>
      <c r="B334" s="13">
        <v>2</v>
      </c>
      <c r="C334" s="14">
        <v>400</v>
      </c>
      <c r="D334" s="15">
        <f>157.960665-0.6</f>
        <v>157.36066500000001</v>
      </c>
    </row>
    <row r="335" spans="1:4" x14ac:dyDescent="0.2">
      <c r="A335" s="12">
        <v>208</v>
      </c>
      <c r="B335" s="13">
        <v>1</v>
      </c>
      <c r="C335" s="14">
        <v>400</v>
      </c>
      <c r="D335" s="15">
        <f>161.5845825-4.2</f>
        <v>157.38458250000002</v>
      </c>
    </row>
    <row r="336" spans="1:4" x14ac:dyDescent="0.2">
      <c r="A336" s="12">
        <v>208</v>
      </c>
      <c r="B336" s="13">
        <v>2</v>
      </c>
      <c r="C336" s="14">
        <v>400</v>
      </c>
      <c r="D336" s="15">
        <f>134.2203075-9</f>
        <v>125.22030749999999</v>
      </c>
    </row>
    <row r="337" spans="1:4" x14ac:dyDescent="0.2">
      <c r="A337" s="12">
        <v>209</v>
      </c>
      <c r="B337" s="13">
        <v>1</v>
      </c>
      <c r="C337" s="14">
        <v>400</v>
      </c>
      <c r="D337" s="15">
        <f>131.631795-36-12.9-4.8-27.6-9-0.07-21-6.3</f>
        <v>13.961795000000006</v>
      </c>
    </row>
    <row r="338" spans="1:4" x14ac:dyDescent="0.2">
      <c r="A338" s="12">
        <v>209</v>
      </c>
      <c r="B338" s="13">
        <v>2</v>
      </c>
      <c r="C338" s="14">
        <v>400</v>
      </c>
      <c r="D338" s="15">
        <f>146.86704-4.5</f>
        <v>142.36704</v>
      </c>
    </row>
    <row r="339" spans="1:4" x14ac:dyDescent="0.2">
      <c r="A339" s="12">
        <v>210</v>
      </c>
      <c r="B339" s="13">
        <v>1</v>
      </c>
      <c r="C339" s="14">
        <v>250</v>
      </c>
      <c r="D339" s="15">
        <v>0</v>
      </c>
    </row>
    <row r="340" spans="1:4" x14ac:dyDescent="0.2">
      <c r="A340" s="12">
        <v>210</v>
      </c>
      <c r="B340" s="13">
        <v>2</v>
      </c>
      <c r="C340" s="14">
        <v>250</v>
      </c>
      <c r="D340" s="15">
        <f>81-10.5-21-10.5-10.5-10.5-4.55</f>
        <v>13.45</v>
      </c>
    </row>
    <row r="341" spans="1:4" x14ac:dyDescent="0.2">
      <c r="A341" s="12">
        <v>211</v>
      </c>
      <c r="B341" s="13">
        <v>1</v>
      </c>
      <c r="C341" s="14">
        <v>630</v>
      </c>
      <c r="D341" s="15">
        <f>269-14-10.5-10.5-10.5-2.1-10.5-52.5-4.9-7-7.35</f>
        <v>139.15</v>
      </c>
    </row>
    <row r="342" spans="1:4" x14ac:dyDescent="0.2">
      <c r="A342" s="12">
        <v>211</v>
      </c>
      <c r="B342" s="13">
        <v>2</v>
      </c>
      <c r="C342" s="14">
        <v>630</v>
      </c>
      <c r="D342" s="15">
        <v>265</v>
      </c>
    </row>
    <row r="343" spans="1:4" x14ac:dyDescent="0.2">
      <c r="A343" s="12">
        <v>212</v>
      </c>
      <c r="B343" s="13">
        <v>1</v>
      </c>
      <c r="C343" s="14">
        <v>250</v>
      </c>
      <c r="D343" s="15">
        <v>146</v>
      </c>
    </row>
    <row r="344" spans="1:4" x14ac:dyDescent="0.2">
      <c r="A344" s="12">
        <v>213</v>
      </c>
      <c r="B344" s="13">
        <v>1</v>
      </c>
      <c r="C344" s="14">
        <v>400</v>
      </c>
      <c r="D344" s="15">
        <f>174-10.5-5.6</f>
        <v>157.9</v>
      </c>
    </row>
    <row r="345" spans="1:4" x14ac:dyDescent="0.2">
      <c r="A345" s="12">
        <v>214</v>
      </c>
      <c r="B345" s="13">
        <v>1</v>
      </c>
      <c r="C345" s="14">
        <v>250</v>
      </c>
      <c r="D345" s="15">
        <f>118.54341-0.7</f>
        <v>117.84340999999999</v>
      </c>
    </row>
    <row r="346" spans="1:4" x14ac:dyDescent="0.2">
      <c r="A346" s="12">
        <v>215</v>
      </c>
      <c r="B346" s="13">
        <v>1</v>
      </c>
      <c r="C346" s="14">
        <v>400</v>
      </c>
      <c r="D346" s="15">
        <f>176.98821-65.52-7-2.1-2.1-0.34-24.5-0.7</f>
        <v>74.728210000000018</v>
      </c>
    </row>
    <row r="347" spans="1:4" x14ac:dyDescent="0.2">
      <c r="A347" s="12">
        <v>216</v>
      </c>
      <c r="B347" s="13">
        <v>1</v>
      </c>
      <c r="C347" s="14">
        <v>400</v>
      </c>
      <c r="D347" s="15">
        <f>157.06899-6.6-6-9-0.6-1.8-1.2-1.8</f>
        <v>130.06899000000001</v>
      </c>
    </row>
    <row r="348" spans="1:4" x14ac:dyDescent="0.2">
      <c r="A348" s="12">
        <v>217</v>
      </c>
      <c r="B348" s="13">
        <v>1</v>
      </c>
      <c r="C348" s="14">
        <v>400</v>
      </c>
      <c r="D348" s="15">
        <f>181.42566-0.11-10.5-24.5-10.5</f>
        <v>135.81565999999998</v>
      </c>
    </row>
    <row r="349" spans="1:4" x14ac:dyDescent="0.2">
      <c r="A349" s="12">
        <v>218</v>
      </c>
      <c r="B349" s="13">
        <v>1</v>
      </c>
      <c r="C349" s="14">
        <v>400</v>
      </c>
      <c r="D349" s="15">
        <f>145.535805-8.25-9-0.06</f>
        <v>128.22580500000001</v>
      </c>
    </row>
    <row r="350" spans="1:4" x14ac:dyDescent="0.2">
      <c r="A350" s="12">
        <v>218</v>
      </c>
      <c r="B350" s="13">
        <v>2</v>
      </c>
      <c r="C350" s="14">
        <v>320</v>
      </c>
      <c r="D350" s="15">
        <v>136.38237750000002</v>
      </c>
    </row>
    <row r="351" spans="1:4" x14ac:dyDescent="0.2">
      <c r="A351" s="12">
        <v>219</v>
      </c>
      <c r="B351" s="13">
        <v>1</v>
      </c>
      <c r="C351" s="14">
        <v>200</v>
      </c>
      <c r="D351" s="15">
        <f>81.44349-10.5-10.5-10.5</f>
        <v>49.943489999999997</v>
      </c>
    </row>
    <row r="352" spans="1:4" x14ac:dyDescent="0.2">
      <c r="A352" s="12">
        <v>220</v>
      </c>
      <c r="B352" s="13">
        <v>1</v>
      </c>
      <c r="C352" s="14">
        <v>180</v>
      </c>
      <c r="D352" s="15">
        <f>68.45739-5.89-4.95-16.5-0.83-8.25-26.4</f>
        <v>5.6373900000000035</v>
      </c>
    </row>
    <row r="353" spans="1:4" x14ac:dyDescent="0.2">
      <c r="A353" s="12">
        <v>221</v>
      </c>
      <c r="B353" s="13">
        <v>1</v>
      </c>
      <c r="C353" s="14">
        <v>250</v>
      </c>
      <c r="D353" s="15">
        <f>122.29059-2.1-10.5-6</f>
        <v>103.69059</v>
      </c>
    </row>
    <row r="354" spans="1:4" x14ac:dyDescent="0.2">
      <c r="A354" s="12">
        <v>222</v>
      </c>
      <c r="B354" s="13">
        <v>1</v>
      </c>
      <c r="C354" s="14">
        <v>250</v>
      </c>
      <c r="D354" s="15">
        <f>108.48519-6.6-6-6.9</f>
        <v>88.985190000000003</v>
      </c>
    </row>
    <row r="355" spans="1:4" x14ac:dyDescent="0.2">
      <c r="A355" s="12">
        <v>223</v>
      </c>
      <c r="B355" s="13">
        <v>1</v>
      </c>
      <c r="C355" s="14">
        <v>400</v>
      </c>
      <c r="D355" s="15">
        <v>0</v>
      </c>
    </row>
    <row r="356" spans="1:4" x14ac:dyDescent="0.2">
      <c r="A356" s="12">
        <v>224</v>
      </c>
      <c r="B356" s="13">
        <v>1</v>
      </c>
      <c r="C356" s="14">
        <v>250</v>
      </c>
      <c r="D356" s="15">
        <f>95-14-10.5</f>
        <v>70.5</v>
      </c>
    </row>
    <row r="357" spans="1:4" x14ac:dyDescent="0.2">
      <c r="A357" s="12">
        <v>225</v>
      </c>
      <c r="B357" s="13">
        <v>1</v>
      </c>
      <c r="C357" s="14">
        <v>250</v>
      </c>
      <c r="D357" s="15">
        <v>0</v>
      </c>
    </row>
    <row r="358" spans="1:4" x14ac:dyDescent="0.2">
      <c r="A358" s="12">
        <v>225</v>
      </c>
      <c r="B358" s="13">
        <v>2</v>
      </c>
      <c r="C358" s="14">
        <v>400</v>
      </c>
      <c r="D358" s="15">
        <v>0</v>
      </c>
    </row>
    <row r="359" spans="1:4" x14ac:dyDescent="0.2">
      <c r="A359" s="12">
        <v>226</v>
      </c>
      <c r="B359" s="13">
        <v>1</v>
      </c>
      <c r="C359" s="14">
        <v>400</v>
      </c>
      <c r="D359" s="15">
        <f>192.37137-6.09</f>
        <v>186.28137000000001</v>
      </c>
    </row>
    <row r="360" spans="1:4" x14ac:dyDescent="0.2">
      <c r="A360" s="12">
        <v>227</v>
      </c>
      <c r="B360" s="13">
        <v>1</v>
      </c>
      <c r="C360" s="14">
        <v>250</v>
      </c>
      <c r="D360" s="15">
        <f>63.39222-5.5-8.25-6.33-5.5</f>
        <v>37.812220000000003</v>
      </c>
    </row>
    <row r="361" spans="1:4" x14ac:dyDescent="0.2">
      <c r="A361" s="12">
        <v>227</v>
      </c>
      <c r="B361" s="13">
        <v>2</v>
      </c>
      <c r="C361" s="14">
        <v>250</v>
      </c>
      <c r="D361" s="15">
        <f>107.6927625-25.3-2.75</f>
        <v>79.642762500000003</v>
      </c>
    </row>
    <row r="362" spans="1:4" x14ac:dyDescent="0.2">
      <c r="A362" s="12">
        <v>228</v>
      </c>
      <c r="B362" s="13">
        <v>1</v>
      </c>
      <c r="C362" s="14">
        <v>250</v>
      </c>
      <c r="D362" s="15">
        <f>90-10.5-4.9-10.5-10.5-10.5-10.5</f>
        <v>32.599999999999994</v>
      </c>
    </row>
    <row r="363" spans="1:4" x14ac:dyDescent="0.2">
      <c r="A363" s="12">
        <v>229</v>
      </c>
      <c r="B363" s="13">
        <v>1</v>
      </c>
      <c r="C363" s="14">
        <v>400</v>
      </c>
      <c r="D363" s="24">
        <v>0</v>
      </c>
    </row>
    <row r="364" spans="1:4" x14ac:dyDescent="0.2">
      <c r="A364" s="12">
        <v>230</v>
      </c>
      <c r="B364" s="13">
        <v>1</v>
      </c>
      <c r="C364" s="14">
        <v>160</v>
      </c>
      <c r="D364" s="15">
        <v>0</v>
      </c>
    </row>
    <row r="365" spans="1:4" x14ac:dyDescent="0.2">
      <c r="A365" s="12">
        <v>231</v>
      </c>
      <c r="B365" s="13">
        <v>1</v>
      </c>
      <c r="C365" s="14">
        <v>250</v>
      </c>
      <c r="D365" s="15">
        <f>85.70628-4.9</f>
        <v>80.806280000000001</v>
      </c>
    </row>
    <row r="366" spans="1:4" x14ac:dyDescent="0.2">
      <c r="A366" s="12">
        <v>232</v>
      </c>
      <c r="B366" s="13">
        <v>1</v>
      </c>
      <c r="C366" s="14">
        <v>160</v>
      </c>
      <c r="D366" s="15">
        <f>77.36271-10.5-7-28-10.5</f>
        <v>21.362710000000007</v>
      </c>
    </row>
    <row r="367" spans="1:4" x14ac:dyDescent="0.2">
      <c r="A367" s="12">
        <v>233</v>
      </c>
      <c r="B367" s="13">
        <v>1</v>
      </c>
      <c r="C367" s="14">
        <v>180</v>
      </c>
      <c r="D367" s="15">
        <v>94.490429999999989</v>
      </c>
    </row>
    <row r="368" spans="1:4" x14ac:dyDescent="0.2">
      <c r="A368" s="12">
        <v>234</v>
      </c>
      <c r="B368" s="13">
        <v>1</v>
      </c>
      <c r="C368" s="14">
        <v>250</v>
      </c>
      <c r="D368" s="15">
        <f>128.10858-19.25</f>
        <v>108.85857999999999</v>
      </c>
    </row>
    <row r="369" spans="1:4" x14ac:dyDescent="0.2">
      <c r="A369" s="12">
        <v>235</v>
      </c>
      <c r="B369" s="13">
        <v>1</v>
      </c>
      <c r="C369" s="14">
        <v>400</v>
      </c>
      <c r="D369" s="15">
        <f>171.07161-8.25-8.25</f>
        <v>154.57160999999999</v>
      </c>
    </row>
    <row r="370" spans="1:4" x14ac:dyDescent="0.2">
      <c r="A370" s="12">
        <v>236</v>
      </c>
      <c r="B370" s="13">
        <v>1</v>
      </c>
      <c r="C370" s="14">
        <v>400</v>
      </c>
      <c r="D370" s="15">
        <f>168.1668-1.8</f>
        <v>166.36679999999998</v>
      </c>
    </row>
    <row r="371" spans="1:4" x14ac:dyDescent="0.2">
      <c r="A371" s="12">
        <v>236</v>
      </c>
      <c r="B371" s="13">
        <v>2</v>
      </c>
      <c r="C371" s="14">
        <v>200</v>
      </c>
      <c r="D371" s="15">
        <v>90</v>
      </c>
    </row>
    <row r="372" spans="1:4" x14ac:dyDescent="0.2">
      <c r="A372" s="12">
        <v>237</v>
      </c>
      <c r="B372" s="13">
        <v>1</v>
      </c>
      <c r="C372" s="14">
        <v>400</v>
      </c>
      <c r="D372" s="15">
        <f>135.96645-6-7-3.6-3.5-14.35</f>
        <v>101.51645000000002</v>
      </c>
    </row>
    <row r="373" spans="1:4" x14ac:dyDescent="0.2">
      <c r="A373" s="12">
        <v>238</v>
      </c>
      <c r="B373" s="13">
        <v>1</v>
      </c>
      <c r="C373" s="14">
        <v>400</v>
      </c>
      <c r="D373" s="15">
        <f>93.66276-3.6-9-6-21-0.54-9</f>
        <v>44.522760000000012</v>
      </c>
    </row>
    <row r="374" spans="1:4" x14ac:dyDescent="0.2">
      <c r="A374" s="12">
        <v>239</v>
      </c>
      <c r="B374" s="13">
        <v>1</v>
      </c>
      <c r="C374" s="14">
        <v>250</v>
      </c>
      <c r="D374" s="15">
        <f>124.16418-0.18</f>
        <v>123.98417999999999</v>
      </c>
    </row>
    <row r="375" spans="1:4" x14ac:dyDescent="0.2">
      <c r="A375" s="12">
        <v>240</v>
      </c>
      <c r="B375" s="13">
        <v>1</v>
      </c>
      <c r="C375" s="14">
        <v>400</v>
      </c>
      <c r="D375" s="15">
        <v>154.99817999999996</v>
      </c>
    </row>
    <row r="376" spans="1:4" x14ac:dyDescent="0.2">
      <c r="A376" s="12">
        <v>241</v>
      </c>
      <c r="B376" s="13">
        <v>1</v>
      </c>
      <c r="C376" s="14">
        <v>250</v>
      </c>
      <c r="D376" s="15">
        <f>103.6533-7</f>
        <v>96.653300000000002</v>
      </c>
    </row>
    <row r="377" spans="1:4" x14ac:dyDescent="0.2">
      <c r="A377" s="12">
        <v>242</v>
      </c>
      <c r="B377" s="13">
        <v>1</v>
      </c>
      <c r="C377" s="14">
        <v>400</v>
      </c>
      <c r="D377" s="15">
        <f>130.3745175-4.8-3.9-9</f>
        <v>112.67451749999999</v>
      </c>
    </row>
    <row r="378" spans="1:4" x14ac:dyDescent="0.2">
      <c r="A378" s="12">
        <v>242</v>
      </c>
      <c r="B378" s="13">
        <v>2</v>
      </c>
      <c r="C378" s="14">
        <v>400</v>
      </c>
      <c r="D378" s="15">
        <f>39-24</f>
        <v>15</v>
      </c>
    </row>
    <row r="379" spans="1:4" x14ac:dyDescent="0.2">
      <c r="A379" s="12">
        <v>243</v>
      </c>
      <c r="B379" s="13">
        <v>1</v>
      </c>
      <c r="C379" s="14">
        <v>400</v>
      </c>
      <c r="D379" s="15">
        <f>192.37137-6-24-24-111</f>
        <v>27.371370000000013</v>
      </c>
    </row>
    <row r="380" spans="1:4" x14ac:dyDescent="0.2">
      <c r="A380" s="12">
        <v>244</v>
      </c>
      <c r="B380" s="13">
        <v>1</v>
      </c>
      <c r="C380" s="14">
        <v>400</v>
      </c>
      <c r="D380" s="15">
        <f>174.22713-9</f>
        <v>165.22712999999999</v>
      </c>
    </row>
    <row r="381" spans="1:4" x14ac:dyDescent="0.2">
      <c r="A381" s="12">
        <v>245</v>
      </c>
      <c r="B381" s="13">
        <v>1</v>
      </c>
      <c r="C381" s="14">
        <v>400</v>
      </c>
      <c r="D381" s="15">
        <f>127.4162175-9-6-6-18-9-26.4</f>
        <v>53.016217500000003</v>
      </c>
    </row>
    <row r="382" spans="1:4" x14ac:dyDescent="0.2">
      <c r="A382" s="12">
        <v>245</v>
      </c>
      <c r="B382" s="13">
        <v>2</v>
      </c>
      <c r="C382" s="14">
        <v>400</v>
      </c>
      <c r="D382" s="15">
        <f>161.1408375-12-9-9-24</f>
        <v>107.1408375</v>
      </c>
    </row>
    <row r="383" spans="1:4" x14ac:dyDescent="0.2">
      <c r="A383" s="12">
        <v>246</v>
      </c>
      <c r="B383" s="13">
        <v>1</v>
      </c>
      <c r="C383" s="14">
        <v>250</v>
      </c>
      <c r="D383" s="15">
        <f>79.09941-9-13.8-6-9-0.26-18-0.6-9</f>
        <v>13.439410000000009</v>
      </c>
    </row>
    <row r="384" spans="1:4" x14ac:dyDescent="0.2">
      <c r="A384" s="12">
        <v>247</v>
      </c>
      <c r="B384" s="13">
        <v>1</v>
      </c>
      <c r="C384" s="14">
        <v>320</v>
      </c>
      <c r="D384" s="15">
        <f>153.24627-3</f>
        <v>150.24627000000001</v>
      </c>
    </row>
    <row r="385" spans="1:4" x14ac:dyDescent="0.2">
      <c r="A385" s="12">
        <v>248</v>
      </c>
      <c r="B385" s="13">
        <v>1</v>
      </c>
      <c r="C385" s="14">
        <v>400</v>
      </c>
      <c r="D385" s="15">
        <f>152.53293-8.4-4.9-10.5-9-9.1-35-14</f>
        <v>61.632929999999988</v>
      </c>
    </row>
    <row r="386" spans="1:4" x14ac:dyDescent="0.2">
      <c r="A386" s="12">
        <v>249</v>
      </c>
      <c r="B386" s="13">
        <v>1</v>
      </c>
      <c r="C386" s="14">
        <v>400</v>
      </c>
      <c r="D386" s="15">
        <f>161.60505-9-9</f>
        <v>143.60505000000001</v>
      </c>
    </row>
    <row r="387" spans="1:4" x14ac:dyDescent="0.2">
      <c r="A387" s="12">
        <v>250</v>
      </c>
      <c r="B387" s="13">
        <v>1</v>
      </c>
      <c r="C387" s="14">
        <v>400</v>
      </c>
      <c r="D387" s="15">
        <f>130.8716-7.98-5.4-18-0.6-14.4-7.8-12-6.3-6.3</f>
        <v>52.0916</v>
      </c>
    </row>
    <row r="388" spans="1:4" x14ac:dyDescent="0.2">
      <c r="A388" s="12">
        <v>251</v>
      </c>
      <c r="B388" s="13">
        <v>1</v>
      </c>
      <c r="C388" s="14">
        <v>400</v>
      </c>
      <c r="D388" s="15">
        <f>162.55828-8.25-2.2-4.4-10.8</f>
        <v>136.90827999999999</v>
      </c>
    </row>
    <row r="389" spans="1:4" x14ac:dyDescent="0.2">
      <c r="A389" s="12">
        <v>252</v>
      </c>
      <c r="B389" s="13">
        <v>1</v>
      </c>
      <c r="C389" s="14">
        <v>400</v>
      </c>
      <c r="D389" s="15">
        <f>209-30-60-72</f>
        <v>47</v>
      </c>
    </row>
    <row r="390" spans="1:4" x14ac:dyDescent="0.2">
      <c r="A390" s="12">
        <v>253</v>
      </c>
      <c r="B390" s="13">
        <v>1</v>
      </c>
      <c r="C390" s="14">
        <v>630</v>
      </c>
      <c r="D390" s="15">
        <f>172.76097-9-51</f>
        <v>112.76096999999999</v>
      </c>
    </row>
    <row r="391" spans="1:4" x14ac:dyDescent="0.2">
      <c r="A391" s="12">
        <v>253</v>
      </c>
      <c r="B391" s="13">
        <v>2</v>
      </c>
      <c r="C391" s="14">
        <v>630</v>
      </c>
      <c r="D391" s="15">
        <v>187.05941999999999</v>
      </c>
    </row>
    <row r="392" spans="1:4" x14ac:dyDescent="0.2">
      <c r="A392" s="12">
        <v>254</v>
      </c>
      <c r="B392" s="13">
        <v>1</v>
      </c>
      <c r="C392" s="14">
        <v>400</v>
      </c>
      <c r="D392" s="15">
        <f>156.77316-8.25-16.5-4.8-9.6-4.2-9-15-10.2-6-3</f>
        <v>70.223159999999993</v>
      </c>
    </row>
    <row r="393" spans="1:4" x14ac:dyDescent="0.2">
      <c r="A393" s="12">
        <v>255</v>
      </c>
      <c r="B393" s="13">
        <v>1</v>
      </c>
      <c r="C393" s="14">
        <v>400</v>
      </c>
      <c r="D393" s="15">
        <f>167.0286-5.5-8.25-0.07</f>
        <v>153.20860000000002</v>
      </c>
    </row>
    <row r="394" spans="1:4" x14ac:dyDescent="0.2">
      <c r="A394" s="12">
        <v>256</v>
      </c>
      <c r="B394" s="13">
        <v>1</v>
      </c>
      <c r="C394" s="14">
        <v>400</v>
      </c>
      <c r="D394" s="15">
        <f>154.40652-9-8</f>
        <v>137.40652</v>
      </c>
    </row>
    <row r="395" spans="1:4" x14ac:dyDescent="0.2">
      <c r="A395" s="12">
        <v>257</v>
      </c>
      <c r="B395" s="13">
        <v>1</v>
      </c>
      <c r="C395" s="14">
        <v>250</v>
      </c>
      <c r="D395" s="15">
        <f>125.84055-20.9-19.25-9.9</f>
        <v>75.790549999999996</v>
      </c>
    </row>
    <row r="396" spans="1:4" x14ac:dyDescent="0.2">
      <c r="A396" s="12">
        <v>258</v>
      </c>
      <c r="B396" s="13">
        <v>1</v>
      </c>
      <c r="C396" s="14">
        <v>400</v>
      </c>
      <c r="D396" s="15">
        <f>193-10.5-21-10.5-10.5-7-17.5-10.5-6.3-1.4-7-10.5-10.5-10.5-3.5-25.2-10.5-7</f>
        <v>13.099999999999998</v>
      </c>
    </row>
    <row r="397" spans="1:4" x14ac:dyDescent="0.2">
      <c r="A397" s="12">
        <v>259</v>
      </c>
      <c r="B397" s="13">
        <v>1</v>
      </c>
      <c r="C397" s="14">
        <v>400</v>
      </c>
      <c r="D397" s="15">
        <f>176.00211-51-9-9-9-6</f>
        <v>92.002109999999988</v>
      </c>
    </row>
    <row r="398" spans="1:4" x14ac:dyDescent="0.2">
      <c r="A398" s="12">
        <v>260</v>
      </c>
      <c r="B398" s="13">
        <v>1</v>
      </c>
      <c r="C398" s="14">
        <v>400</v>
      </c>
      <c r="D398" s="15">
        <f>97.60716-9-18-9-9-13.2-9-9</f>
        <v>21.40715999999999</v>
      </c>
    </row>
    <row r="399" spans="1:4" x14ac:dyDescent="0.2">
      <c r="A399" s="12">
        <v>261</v>
      </c>
      <c r="B399" s="13">
        <v>1</v>
      </c>
      <c r="C399" s="14">
        <v>400</v>
      </c>
      <c r="D399" s="15">
        <f>141.78444-7.15-2.75-7.15-0.22-5.5-7.7-5.77-1.65-16.5-0.55-5.56</f>
        <v>81.284439999999975</v>
      </c>
    </row>
    <row r="400" spans="1:4" x14ac:dyDescent="0.2">
      <c r="A400" s="12">
        <v>262</v>
      </c>
      <c r="B400" s="13">
        <v>1</v>
      </c>
      <c r="C400" s="14">
        <v>400</v>
      </c>
      <c r="D400" s="15">
        <f>149.72673-9-9</f>
        <v>131.72673</v>
      </c>
    </row>
    <row r="401" spans="1:4" x14ac:dyDescent="0.2">
      <c r="A401" s="12">
        <v>262</v>
      </c>
      <c r="B401" s="13">
        <v>2</v>
      </c>
      <c r="C401" s="14">
        <v>400</v>
      </c>
      <c r="D401" s="15">
        <f>163.33491-28.8-9</f>
        <v>125.53491</v>
      </c>
    </row>
    <row r="402" spans="1:4" x14ac:dyDescent="0.2">
      <c r="A402" s="12">
        <v>263</v>
      </c>
      <c r="B402" s="13">
        <v>1</v>
      </c>
      <c r="C402" s="14">
        <v>400</v>
      </c>
      <c r="D402" s="15">
        <f>157-60-8.22-9-0.6</f>
        <v>79.180000000000007</v>
      </c>
    </row>
    <row r="403" spans="1:4" x14ac:dyDescent="0.2">
      <c r="A403" s="12">
        <v>263</v>
      </c>
      <c r="B403" s="13">
        <v>2</v>
      </c>
      <c r="C403" s="14">
        <v>400</v>
      </c>
      <c r="D403" s="15">
        <f>161-60-7.2-6</f>
        <v>87.8</v>
      </c>
    </row>
    <row r="404" spans="1:4" x14ac:dyDescent="0.2">
      <c r="A404" s="12">
        <v>264</v>
      </c>
      <c r="B404" s="13">
        <v>1</v>
      </c>
      <c r="C404" s="14">
        <v>400</v>
      </c>
      <c r="D404" s="15">
        <v>0</v>
      </c>
    </row>
    <row r="405" spans="1:4" x14ac:dyDescent="0.2">
      <c r="A405" s="12">
        <v>265</v>
      </c>
      <c r="B405" s="13">
        <v>1</v>
      </c>
      <c r="C405" s="14">
        <v>315</v>
      </c>
      <c r="D405" s="15">
        <v>166.12248000000002</v>
      </c>
    </row>
    <row r="406" spans="1:4" x14ac:dyDescent="0.2">
      <c r="A406" s="12">
        <v>266</v>
      </c>
      <c r="B406" s="13">
        <v>1</v>
      </c>
      <c r="C406" s="14">
        <v>400</v>
      </c>
      <c r="D406" s="15">
        <v>0</v>
      </c>
    </row>
    <row r="407" spans="1:4" x14ac:dyDescent="0.2">
      <c r="A407" s="12">
        <v>267</v>
      </c>
      <c r="B407" s="13">
        <v>1</v>
      </c>
      <c r="C407" s="14">
        <v>400</v>
      </c>
      <c r="D407" s="15">
        <f>222.38168-8.22-29.15-9-9-0.26-0.6</f>
        <v>166.15168</v>
      </c>
    </row>
    <row r="408" spans="1:4" x14ac:dyDescent="0.2">
      <c r="A408" s="12">
        <v>268</v>
      </c>
      <c r="B408" s="13">
        <v>1</v>
      </c>
      <c r="C408" s="14">
        <v>400</v>
      </c>
      <c r="D408" s="15">
        <f>134.93523-18-3</f>
        <v>113.93522999999999</v>
      </c>
    </row>
    <row r="409" spans="1:4" x14ac:dyDescent="0.2">
      <c r="A409" s="12">
        <v>268</v>
      </c>
      <c r="B409" s="13">
        <v>2</v>
      </c>
      <c r="C409" s="14">
        <v>400</v>
      </c>
      <c r="D409" s="15">
        <f>171.32232-8.25</f>
        <v>163.07231999999999</v>
      </c>
    </row>
    <row r="410" spans="1:4" x14ac:dyDescent="0.2">
      <c r="A410" s="12">
        <v>269</v>
      </c>
      <c r="B410" s="13">
        <v>1</v>
      </c>
      <c r="C410" s="14">
        <v>630</v>
      </c>
      <c r="D410" s="15">
        <v>0</v>
      </c>
    </row>
    <row r="411" spans="1:4" x14ac:dyDescent="0.2">
      <c r="A411" s="12">
        <v>269</v>
      </c>
      <c r="B411" s="13">
        <v>2</v>
      </c>
      <c r="C411" s="14">
        <v>630</v>
      </c>
      <c r="D411" s="15">
        <v>0</v>
      </c>
    </row>
    <row r="412" spans="1:4" x14ac:dyDescent="0.2">
      <c r="A412" s="12">
        <v>270</v>
      </c>
      <c r="B412" s="13">
        <v>1</v>
      </c>
      <c r="C412" s="14">
        <v>400</v>
      </c>
      <c r="D412" s="15">
        <v>201</v>
      </c>
    </row>
    <row r="413" spans="1:4" x14ac:dyDescent="0.2">
      <c r="A413" s="12">
        <v>271</v>
      </c>
      <c r="B413" s="13">
        <v>1</v>
      </c>
      <c r="C413" s="14">
        <v>400</v>
      </c>
      <c r="D413" s="15">
        <f>128.969325-10.5-10.5-79.8</f>
        <v>28.169325000000001</v>
      </c>
    </row>
    <row r="414" spans="1:4" x14ac:dyDescent="0.2">
      <c r="A414" s="12">
        <v>271</v>
      </c>
      <c r="B414" s="13">
        <v>2</v>
      </c>
      <c r="C414" s="14">
        <v>400</v>
      </c>
      <c r="D414" s="15">
        <f>157.81275-10.5-135.8</f>
        <v>11.512749999999983</v>
      </c>
    </row>
    <row r="415" spans="1:4" x14ac:dyDescent="0.2">
      <c r="A415" s="12">
        <v>272</v>
      </c>
      <c r="B415" s="13">
        <v>1</v>
      </c>
      <c r="C415" s="14">
        <v>250</v>
      </c>
      <c r="D415" s="15">
        <f>97.6345425-10.5</f>
        <v>87.134542499999995</v>
      </c>
    </row>
    <row r="416" spans="1:4" x14ac:dyDescent="0.2">
      <c r="A416" s="12">
        <v>272</v>
      </c>
      <c r="B416" s="13">
        <v>2</v>
      </c>
      <c r="C416" s="14">
        <v>160</v>
      </c>
      <c r="D416" s="15">
        <f>49.22109-10.5-10.5</f>
        <v>28.221089999999997</v>
      </c>
    </row>
    <row r="417" spans="1:4" x14ac:dyDescent="0.2">
      <c r="A417" s="12">
        <v>273</v>
      </c>
      <c r="B417" s="13">
        <v>1</v>
      </c>
      <c r="C417" s="14">
        <v>630</v>
      </c>
      <c r="D417" s="15">
        <f>322.18674-20.3-105</f>
        <v>196.88673999999997</v>
      </c>
    </row>
    <row r="418" spans="1:4" x14ac:dyDescent="0.2">
      <c r="A418" s="12">
        <v>274</v>
      </c>
      <c r="B418" s="13">
        <v>1</v>
      </c>
      <c r="C418" s="14">
        <v>250</v>
      </c>
      <c r="D418" s="15">
        <v>100.10333999999999</v>
      </c>
    </row>
    <row r="419" spans="1:4" x14ac:dyDescent="0.2">
      <c r="A419" s="12">
        <v>275</v>
      </c>
      <c r="B419" s="13">
        <v>1</v>
      </c>
      <c r="C419" s="14">
        <v>400</v>
      </c>
      <c r="D419" s="15">
        <v>154.48466250000001</v>
      </c>
    </row>
    <row r="420" spans="1:4" x14ac:dyDescent="0.2">
      <c r="A420" s="12">
        <v>275</v>
      </c>
      <c r="B420" s="13">
        <v>2</v>
      </c>
      <c r="C420" s="14">
        <v>400</v>
      </c>
      <c r="D420" s="15">
        <v>141.1723125</v>
      </c>
    </row>
    <row r="421" spans="1:4" x14ac:dyDescent="0.2">
      <c r="A421" s="12">
        <v>276</v>
      </c>
      <c r="B421" s="13">
        <v>1</v>
      </c>
      <c r="C421" s="14">
        <v>250</v>
      </c>
      <c r="D421" s="15">
        <v>86.002110000000016</v>
      </c>
    </row>
    <row r="422" spans="1:4" x14ac:dyDescent="0.2">
      <c r="A422" s="12">
        <v>277</v>
      </c>
      <c r="B422" s="13">
        <v>1</v>
      </c>
      <c r="C422" s="14">
        <v>400</v>
      </c>
      <c r="D422" s="15">
        <f>150.06768-2.75-0.27-11-8.25-13.75</f>
        <v>114.04767999999999</v>
      </c>
    </row>
    <row r="423" spans="1:4" x14ac:dyDescent="0.2">
      <c r="A423" s="12">
        <v>278</v>
      </c>
      <c r="B423" s="13">
        <v>1</v>
      </c>
      <c r="C423" s="14">
        <v>400</v>
      </c>
      <c r="D423" s="15">
        <f>163.43352-35-8.25-27.5</f>
        <v>92.683519999999987</v>
      </c>
    </row>
    <row r="424" spans="1:4" x14ac:dyDescent="0.2">
      <c r="A424" s="12">
        <v>278</v>
      </c>
      <c r="B424" s="13">
        <v>2</v>
      </c>
      <c r="C424" s="14">
        <v>400</v>
      </c>
      <c r="D424" s="15">
        <f>133.7765625-10.5</f>
        <v>123.27656250000001</v>
      </c>
    </row>
    <row r="425" spans="1:4" x14ac:dyDescent="0.2">
      <c r="A425" s="12">
        <v>279</v>
      </c>
      <c r="B425" s="13">
        <v>1</v>
      </c>
      <c r="C425" s="14">
        <v>250</v>
      </c>
      <c r="D425" s="15">
        <f>72.29532-30-10.5-4.2-10.5-10.5-3-3</f>
        <v>0.59532000000000451</v>
      </c>
    </row>
    <row r="426" spans="1:4" x14ac:dyDescent="0.2">
      <c r="A426" s="12">
        <v>280</v>
      </c>
      <c r="B426" s="13">
        <v>1</v>
      </c>
      <c r="C426" s="14">
        <v>1000</v>
      </c>
      <c r="D426" s="15">
        <v>450</v>
      </c>
    </row>
    <row r="427" spans="1:4" x14ac:dyDescent="0.2">
      <c r="A427" s="12">
        <v>280</v>
      </c>
      <c r="B427" s="13">
        <v>2</v>
      </c>
      <c r="C427" s="14">
        <v>1000</v>
      </c>
      <c r="D427" s="15">
        <v>450</v>
      </c>
    </row>
    <row r="428" spans="1:4" x14ac:dyDescent="0.2">
      <c r="A428" s="12">
        <v>281</v>
      </c>
      <c r="B428" s="13">
        <v>1</v>
      </c>
      <c r="C428" s="14">
        <v>400</v>
      </c>
      <c r="D428" s="15">
        <f>184.87701-6-5.5-6.3</f>
        <v>167.07701</v>
      </c>
    </row>
    <row r="429" spans="1:4" x14ac:dyDescent="0.2">
      <c r="A429" s="12">
        <v>282</v>
      </c>
      <c r="B429" s="13">
        <v>1</v>
      </c>
      <c r="C429" s="14">
        <v>250</v>
      </c>
      <c r="D429" s="15">
        <f>60.9516225-9-8.25-43.45</f>
        <v>0.25162249999999631</v>
      </c>
    </row>
    <row r="430" spans="1:4" x14ac:dyDescent="0.2">
      <c r="A430" s="12">
        <v>282</v>
      </c>
      <c r="B430" s="13">
        <v>2</v>
      </c>
      <c r="C430" s="14">
        <v>250</v>
      </c>
      <c r="D430" s="15">
        <v>0</v>
      </c>
    </row>
    <row r="431" spans="1:4" x14ac:dyDescent="0.2">
      <c r="A431" s="16">
        <v>283</v>
      </c>
      <c r="B431" s="13">
        <v>1</v>
      </c>
      <c r="C431" s="17">
        <v>180</v>
      </c>
      <c r="D431" s="15">
        <v>0</v>
      </c>
    </row>
    <row r="432" spans="1:4" x14ac:dyDescent="0.2">
      <c r="A432" s="16">
        <v>284</v>
      </c>
      <c r="B432" s="13">
        <v>1</v>
      </c>
      <c r="C432" s="17">
        <v>400</v>
      </c>
      <c r="D432" s="15">
        <v>0</v>
      </c>
    </row>
    <row r="433" spans="1:4" x14ac:dyDescent="0.2">
      <c r="A433" s="16">
        <v>284</v>
      </c>
      <c r="B433" s="13">
        <v>2</v>
      </c>
      <c r="C433" s="17">
        <v>400</v>
      </c>
      <c r="D433" s="15">
        <f>171.864675-103.6</f>
        <v>68.264675000000011</v>
      </c>
    </row>
    <row r="434" spans="1:4" x14ac:dyDescent="0.2">
      <c r="A434" s="16">
        <v>285</v>
      </c>
      <c r="B434" s="13">
        <v>1</v>
      </c>
      <c r="C434" s="17">
        <v>630</v>
      </c>
      <c r="D434" s="15">
        <f>229-3.5-7.91-167.3-10.5-10.5-9.8</f>
        <v>19.489999999999991</v>
      </c>
    </row>
    <row r="435" spans="1:4" x14ac:dyDescent="0.2">
      <c r="A435" s="16">
        <v>285</v>
      </c>
      <c r="B435" s="13">
        <v>2</v>
      </c>
      <c r="C435" s="17">
        <v>630</v>
      </c>
      <c r="D435" s="14">
        <v>116</v>
      </c>
    </row>
    <row r="436" spans="1:4" x14ac:dyDescent="0.2">
      <c r="A436" s="12">
        <v>286</v>
      </c>
      <c r="B436" s="13">
        <v>1</v>
      </c>
      <c r="C436" s="14">
        <v>400</v>
      </c>
      <c r="D436" s="15">
        <v>0</v>
      </c>
    </row>
    <row r="437" spans="1:4" x14ac:dyDescent="0.2">
      <c r="A437" s="12">
        <v>286</v>
      </c>
      <c r="B437" s="13">
        <v>2</v>
      </c>
      <c r="C437" s="14">
        <v>400</v>
      </c>
      <c r="D437" s="15">
        <f>131.2620075-10.5-3.15</f>
        <v>117.6120075</v>
      </c>
    </row>
    <row r="438" spans="1:4" x14ac:dyDescent="0.2">
      <c r="A438" s="16">
        <v>287</v>
      </c>
      <c r="B438" s="13">
        <v>1</v>
      </c>
      <c r="C438" s="17">
        <v>250</v>
      </c>
      <c r="D438" s="15">
        <v>119.43089999999999</v>
      </c>
    </row>
    <row r="439" spans="1:4" x14ac:dyDescent="0.2">
      <c r="A439" s="12">
        <v>288</v>
      </c>
      <c r="B439" s="13">
        <v>1</v>
      </c>
      <c r="C439" s="14">
        <v>250</v>
      </c>
      <c r="D439" s="15">
        <f>98.82141-10.5-6-9-2.4</f>
        <v>70.921409999999995</v>
      </c>
    </row>
    <row r="440" spans="1:4" x14ac:dyDescent="0.2">
      <c r="A440" s="12">
        <v>289</v>
      </c>
      <c r="B440" s="13">
        <v>1</v>
      </c>
      <c r="C440" s="14">
        <v>400</v>
      </c>
      <c r="D440" s="15">
        <f>154.60374-21</f>
        <v>133.60373999999999</v>
      </c>
    </row>
    <row r="441" spans="1:4" x14ac:dyDescent="0.2">
      <c r="A441" s="12">
        <v>290</v>
      </c>
      <c r="B441" s="13">
        <v>1</v>
      </c>
      <c r="C441" s="14">
        <v>400</v>
      </c>
      <c r="D441" s="15">
        <f>164.26752-7-8.4</f>
        <v>148.86751999999998</v>
      </c>
    </row>
    <row r="442" spans="1:4" x14ac:dyDescent="0.2">
      <c r="A442" s="16">
        <v>291</v>
      </c>
      <c r="B442" s="13">
        <v>1</v>
      </c>
      <c r="C442" s="17">
        <v>630</v>
      </c>
      <c r="D442" s="15">
        <f>224-28-41.3</f>
        <v>154.69999999999999</v>
      </c>
    </row>
    <row r="443" spans="1:4" x14ac:dyDescent="0.2">
      <c r="A443" s="12">
        <v>292</v>
      </c>
      <c r="B443" s="13">
        <v>1</v>
      </c>
      <c r="C443" s="14">
        <v>400</v>
      </c>
      <c r="D443" s="15">
        <f>124.38396-8.64</f>
        <v>115.74396</v>
      </c>
    </row>
    <row r="444" spans="1:4" x14ac:dyDescent="0.2">
      <c r="A444" s="12">
        <v>292</v>
      </c>
      <c r="B444" s="13">
        <v>2</v>
      </c>
      <c r="C444" s="14">
        <v>400</v>
      </c>
      <c r="D444" s="15">
        <v>158.6262825</v>
      </c>
    </row>
    <row r="445" spans="1:4" x14ac:dyDescent="0.2">
      <c r="A445" s="12">
        <v>293</v>
      </c>
      <c r="B445" s="13">
        <v>1</v>
      </c>
      <c r="C445" s="14">
        <v>200</v>
      </c>
      <c r="D445" s="15">
        <v>83.218469999999996</v>
      </c>
    </row>
    <row r="446" spans="1:4" x14ac:dyDescent="0.2">
      <c r="A446" s="16">
        <v>294</v>
      </c>
      <c r="B446" s="13">
        <v>1</v>
      </c>
      <c r="C446" s="17">
        <v>630</v>
      </c>
      <c r="D446" s="15">
        <v>299.60505000000001</v>
      </c>
    </row>
    <row r="447" spans="1:4" x14ac:dyDescent="0.2">
      <c r="A447" s="16">
        <v>295</v>
      </c>
      <c r="B447" s="13">
        <v>1</v>
      </c>
      <c r="C447" s="17">
        <v>400</v>
      </c>
      <c r="D447" s="15">
        <f>172.55076-20.3</f>
        <v>152.25075999999999</v>
      </c>
    </row>
    <row r="448" spans="1:4" x14ac:dyDescent="0.2">
      <c r="A448" s="16">
        <v>296</v>
      </c>
      <c r="B448" s="13">
        <v>1</v>
      </c>
      <c r="C448" s="17">
        <v>250</v>
      </c>
      <c r="D448" s="15">
        <v>64.505129999999994</v>
      </c>
    </row>
    <row r="449" spans="1:4" x14ac:dyDescent="0.2">
      <c r="A449" s="16">
        <v>297</v>
      </c>
      <c r="B449" s="13">
        <v>1</v>
      </c>
      <c r="C449" s="17">
        <v>400</v>
      </c>
      <c r="D449" s="15">
        <f>140.00946-0.63-1.05-21.7-8.68</f>
        <v>107.94945999999999</v>
      </c>
    </row>
    <row r="450" spans="1:4" x14ac:dyDescent="0.2">
      <c r="A450" s="16">
        <v>298</v>
      </c>
      <c r="B450" s="13">
        <v>1</v>
      </c>
      <c r="C450" s="17">
        <v>400</v>
      </c>
      <c r="D450" s="15">
        <f>139.4178-73.5</f>
        <v>65.9178</v>
      </c>
    </row>
    <row r="451" spans="1:4" x14ac:dyDescent="0.2">
      <c r="A451" s="16">
        <v>299</v>
      </c>
      <c r="B451" s="13">
        <v>1</v>
      </c>
      <c r="C451" s="17">
        <v>250</v>
      </c>
      <c r="D451" s="15">
        <v>106.95318750000001</v>
      </c>
    </row>
    <row r="452" spans="1:4" x14ac:dyDescent="0.2">
      <c r="A452" s="16">
        <v>299</v>
      </c>
      <c r="B452" s="13">
        <v>2</v>
      </c>
      <c r="C452" s="17">
        <v>250</v>
      </c>
      <c r="D452" s="15">
        <v>84.913852500000004</v>
      </c>
    </row>
    <row r="453" spans="1:4" x14ac:dyDescent="0.2">
      <c r="A453" s="12">
        <v>300</v>
      </c>
      <c r="B453" s="13">
        <v>1</v>
      </c>
      <c r="C453" s="14">
        <v>250</v>
      </c>
      <c r="D453" s="15">
        <f>62.53293-9.8-9.5-10.5</f>
        <v>32.732929999999996</v>
      </c>
    </row>
    <row r="454" spans="1:4" x14ac:dyDescent="0.2">
      <c r="A454" s="16">
        <v>301</v>
      </c>
      <c r="B454" s="13">
        <v>1</v>
      </c>
      <c r="C454" s="17">
        <v>250</v>
      </c>
      <c r="D454" s="15">
        <f>98.03253-6.09-0.3</f>
        <v>91.642529999999994</v>
      </c>
    </row>
    <row r="455" spans="1:4" x14ac:dyDescent="0.2">
      <c r="A455" s="12">
        <v>302</v>
      </c>
      <c r="B455" s="13">
        <v>1</v>
      </c>
      <c r="C455" s="14">
        <v>250</v>
      </c>
      <c r="D455" s="15">
        <v>0</v>
      </c>
    </row>
    <row r="456" spans="1:4" x14ac:dyDescent="0.2">
      <c r="A456" s="12">
        <v>303</v>
      </c>
      <c r="B456" s="13">
        <v>1</v>
      </c>
      <c r="C456" s="14">
        <v>250</v>
      </c>
      <c r="D456" s="15">
        <v>68.055089999999993</v>
      </c>
    </row>
    <row r="457" spans="1:4" x14ac:dyDescent="0.2">
      <c r="A457" s="16">
        <v>304</v>
      </c>
      <c r="B457" s="13">
        <v>1</v>
      </c>
      <c r="C457" s="17">
        <v>320</v>
      </c>
      <c r="D457" s="15">
        <f>94.3745175-10.5</f>
        <v>83.874517499999996</v>
      </c>
    </row>
    <row r="458" spans="1:4" x14ac:dyDescent="0.2">
      <c r="A458" s="16">
        <v>304</v>
      </c>
      <c r="B458" s="13">
        <v>2</v>
      </c>
      <c r="C458" s="17">
        <v>250</v>
      </c>
      <c r="D458" s="15">
        <v>77.961847500000019</v>
      </c>
    </row>
    <row r="459" spans="1:4" x14ac:dyDescent="0.2">
      <c r="A459" s="16">
        <v>305</v>
      </c>
      <c r="B459" s="13">
        <v>1</v>
      </c>
      <c r="C459" s="17">
        <v>400</v>
      </c>
      <c r="D459" s="15">
        <f>143.31708-10.5-10.5</f>
        <v>122.31708</v>
      </c>
    </row>
    <row r="460" spans="1:4" x14ac:dyDescent="0.2">
      <c r="A460" s="16">
        <v>305</v>
      </c>
      <c r="B460" s="13">
        <v>2</v>
      </c>
      <c r="C460" s="17">
        <v>400</v>
      </c>
      <c r="D460" s="15">
        <f>164.6907975-10.5</f>
        <v>154.1907975</v>
      </c>
    </row>
    <row r="461" spans="1:4" x14ac:dyDescent="0.2">
      <c r="A461" s="16">
        <v>306</v>
      </c>
      <c r="B461" s="13">
        <v>1</v>
      </c>
      <c r="C461" s="17">
        <v>400</v>
      </c>
      <c r="D461" s="15">
        <v>168.53658750000002</v>
      </c>
    </row>
    <row r="462" spans="1:4" x14ac:dyDescent="0.2">
      <c r="A462" s="16">
        <v>306</v>
      </c>
      <c r="B462" s="13">
        <v>2</v>
      </c>
      <c r="C462" s="17">
        <v>400</v>
      </c>
      <c r="D462" s="15">
        <f>162.102285-10.5</f>
        <v>151.60228499999999</v>
      </c>
    </row>
    <row r="463" spans="1:4" x14ac:dyDescent="0.2">
      <c r="A463" s="16">
        <v>307</v>
      </c>
      <c r="B463" s="13">
        <v>1</v>
      </c>
      <c r="C463" s="17">
        <v>250</v>
      </c>
      <c r="D463" s="15">
        <f>75.964995-10.5</f>
        <v>65.464995000000002</v>
      </c>
    </row>
    <row r="464" spans="1:4" x14ac:dyDescent="0.2">
      <c r="A464" s="16">
        <v>307</v>
      </c>
      <c r="B464" s="13">
        <v>2</v>
      </c>
      <c r="C464" s="17">
        <v>200</v>
      </c>
      <c r="D464" s="15">
        <v>54.648314999999997</v>
      </c>
    </row>
    <row r="465" spans="1:4" x14ac:dyDescent="0.2">
      <c r="A465" s="16">
        <v>308</v>
      </c>
      <c r="B465" s="13">
        <v>1</v>
      </c>
      <c r="C465" s="17">
        <v>315</v>
      </c>
      <c r="D465" s="15">
        <f>100.5556725-7-19.25</f>
        <v>74.3056725</v>
      </c>
    </row>
    <row r="466" spans="1:4" x14ac:dyDescent="0.2">
      <c r="A466" s="16">
        <v>308</v>
      </c>
      <c r="B466" s="13">
        <v>2</v>
      </c>
      <c r="C466" s="17">
        <v>315</v>
      </c>
      <c r="D466" s="15">
        <f>106.54623-8.25</f>
        <v>98.296229999999994</v>
      </c>
    </row>
    <row r="467" spans="1:4" x14ac:dyDescent="0.2">
      <c r="A467" s="16">
        <v>309</v>
      </c>
      <c r="B467" s="13">
        <v>1</v>
      </c>
      <c r="C467" s="17">
        <v>315</v>
      </c>
      <c r="D467" s="15">
        <v>170.46131999999997</v>
      </c>
    </row>
    <row r="468" spans="1:4" x14ac:dyDescent="0.2">
      <c r="A468" s="16">
        <v>310</v>
      </c>
      <c r="B468" s="13">
        <v>1</v>
      </c>
      <c r="C468" s="17">
        <v>315</v>
      </c>
      <c r="D468" s="15">
        <v>117.04819500000001</v>
      </c>
    </row>
    <row r="469" spans="1:4" x14ac:dyDescent="0.2">
      <c r="A469" s="16">
        <v>310</v>
      </c>
      <c r="B469" s="13">
        <v>2</v>
      </c>
      <c r="C469" s="17">
        <v>250</v>
      </c>
      <c r="D469" s="15">
        <v>65.364419999999996</v>
      </c>
    </row>
    <row r="470" spans="1:4" x14ac:dyDescent="0.2">
      <c r="A470" s="16">
        <v>311</v>
      </c>
      <c r="B470" s="13">
        <v>1</v>
      </c>
      <c r="C470" s="17">
        <v>320</v>
      </c>
      <c r="D470" s="15">
        <f>123.6616875-1-0.06</f>
        <v>122.6016875</v>
      </c>
    </row>
    <row r="471" spans="1:4" x14ac:dyDescent="0.2">
      <c r="A471" s="16">
        <v>311</v>
      </c>
      <c r="B471" s="13">
        <v>2</v>
      </c>
      <c r="C471" s="17">
        <v>400</v>
      </c>
      <c r="D471" s="15">
        <f>120.686085-2.1</f>
        <v>118.58608500000001</v>
      </c>
    </row>
    <row r="472" spans="1:4" x14ac:dyDescent="0.2">
      <c r="A472" s="16">
        <v>312</v>
      </c>
      <c r="B472" s="13">
        <v>1</v>
      </c>
      <c r="C472" s="17">
        <v>400</v>
      </c>
      <c r="D472" s="15">
        <f>112.402845-10.5</f>
        <v>101.902845</v>
      </c>
    </row>
    <row r="473" spans="1:4" x14ac:dyDescent="0.2">
      <c r="A473" s="16">
        <v>312</v>
      </c>
      <c r="B473" s="13">
        <v>2</v>
      </c>
      <c r="C473" s="17">
        <v>400</v>
      </c>
      <c r="D473" s="15">
        <f>145.68372-10.5</f>
        <v>135.18371999999999</v>
      </c>
    </row>
    <row r="474" spans="1:4" x14ac:dyDescent="0.2">
      <c r="A474" s="16">
        <v>313</v>
      </c>
      <c r="B474" s="13">
        <v>1</v>
      </c>
      <c r="C474" s="17">
        <v>250</v>
      </c>
      <c r="D474" s="15">
        <v>85.727384999999998</v>
      </c>
    </row>
    <row r="475" spans="1:4" x14ac:dyDescent="0.2">
      <c r="A475" s="16">
        <v>313</v>
      </c>
      <c r="B475" s="13">
        <v>2</v>
      </c>
      <c r="C475" s="17">
        <v>200</v>
      </c>
      <c r="D475" s="15">
        <v>85.266720000000007</v>
      </c>
    </row>
    <row r="476" spans="1:4" x14ac:dyDescent="0.2">
      <c r="A476" s="16">
        <v>314</v>
      </c>
      <c r="B476" s="13">
        <v>1</v>
      </c>
      <c r="C476" s="17">
        <v>250</v>
      </c>
      <c r="D476" s="15">
        <v>97.560585000000003</v>
      </c>
    </row>
    <row r="477" spans="1:4" x14ac:dyDescent="0.2">
      <c r="A477" s="16">
        <v>314</v>
      </c>
      <c r="B477" s="13">
        <v>2</v>
      </c>
      <c r="C477" s="17">
        <v>250</v>
      </c>
      <c r="D477" s="15">
        <f>96.968925-8.25-8.25-33-8.25</f>
        <v>39.218924999999999</v>
      </c>
    </row>
    <row r="478" spans="1:4" x14ac:dyDescent="0.2">
      <c r="A478" s="16">
        <v>315</v>
      </c>
      <c r="B478" s="13">
        <v>1</v>
      </c>
      <c r="C478" s="17">
        <v>250</v>
      </c>
      <c r="D478" s="15">
        <v>93.862710000000007</v>
      </c>
    </row>
    <row r="479" spans="1:4" x14ac:dyDescent="0.2">
      <c r="A479" s="16">
        <v>315</v>
      </c>
      <c r="B479" s="13">
        <v>2</v>
      </c>
      <c r="C479" s="17">
        <v>200</v>
      </c>
      <c r="D479" s="15">
        <v>41.385269999999998</v>
      </c>
    </row>
    <row r="480" spans="1:4" x14ac:dyDescent="0.2">
      <c r="A480" s="16">
        <v>316</v>
      </c>
      <c r="B480" s="13">
        <v>1</v>
      </c>
      <c r="C480" s="17">
        <v>400</v>
      </c>
      <c r="D480" s="15">
        <v>156.99921750000001</v>
      </c>
    </row>
    <row r="481" spans="1:4" x14ac:dyDescent="0.2">
      <c r="A481" s="16">
        <v>316</v>
      </c>
      <c r="B481" s="13">
        <v>2</v>
      </c>
      <c r="C481" s="17">
        <v>400</v>
      </c>
      <c r="D481" s="15">
        <v>142.5035475</v>
      </c>
    </row>
    <row r="482" spans="1:4" x14ac:dyDescent="0.2">
      <c r="A482" s="16">
        <v>317</v>
      </c>
      <c r="B482" s="13">
        <v>1</v>
      </c>
      <c r="C482" s="17">
        <v>320</v>
      </c>
      <c r="D482" s="15">
        <f>118.706535-2.1-2.1</f>
        <v>114.50653500000001</v>
      </c>
    </row>
    <row r="483" spans="1:4" x14ac:dyDescent="0.2">
      <c r="A483" s="16">
        <v>317</v>
      </c>
      <c r="B483" s="13">
        <v>2</v>
      </c>
      <c r="C483" s="17">
        <v>250</v>
      </c>
      <c r="D483" s="15">
        <f>53.92566-6.3</f>
        <v>47.625660000000003</v>
      </c>
    </row>
    <row r="484" spans="1:4" x14ac:dyDescent="0.2">
      <c r="A484" s="25">
        <v>318</v>
      </c>
      <c r="B484" s="9">
        <v>1</v>
      </c>
      <c r="C484" s="17">
        <v>250</v>
      </c>
      <c r="D484" s="15">
        <f>150-13.75</f>
        <v>136.25</v>
      </c>
    </row>
    <row r="485" spans="1:4" x14ac:dyDescent="0.2">
      <c r="A485" s="25">
        <v>319</v>
      </c>
      <c r="B485" s="9">
        <v>1</v>
      </c>
      <c r="C485" s="17">
        <v>630</v>
      </c>
      <c r="D485" s="15">
        <f>212.4268425-5.5-16.5</f>
        <v>190.42684249999999</v>
      </c>
    </row>
    <row r="486" spans="1:4" x14ac:dyDescent="0.2">
      <c r="A486" s="16">
        <v>319</v>
      </c>
      <c r="B486" s="13">
        <v>2</v>
      </c>
      <c r="C486" s="17">
        <v>630</v>
      </c>
      <c r="D486" s="15">
        <f>222.55902-11-37.5-16.5</f>
        <v>157.55902</v>
      </c>
    </row>
    <row r="487" spans="1:4" x14ac:dyDescent="0.2">
      <c r="A487" s="16">
        <v>320</v>
      </c>
      <c r="B487" s="13">
        <v>1</v>
      </c>
      <c r="C487" s="17">
        <v>320</v>
      </c>
      <c r="D487" s="15">
        <v>70.190415000000002</v>
      </c>
    </row>
    <row r="488" spans="1:4" x14ac:dyDescent="0.2">
      <c r="A488" s="16">
        <v>320</v>
      </c>
      <c r="B488" s="13">
        <v>2</v>
      </c>
      <c r="C488" s="17">
        <v>315</v>
      </c>
      <c r="D488" s="15">
        <v>107.5076775</v>
      </c>
    </row>
    <row r="489" spans="1:4" x14ac:dyDescent="0.2">
      <c r="A489" s="12">
        <v>321</v>
      </c>
      <c r="B489" s="9">
        <v>1</v>
      </c>
      <c r="C489" s="14">
        <v>400</v>
      </c>
      <c r="D489" s="15">
        <v>0</v>
      </c>
    </row>
    <row r="490" spans="1:4" x14ac:dyDescent="0.2">
      <c r="A490" s="12">
        <v>322</v>
      </c>
      <c r="B490" s="13">
        <v>1</v>
      </c>
      <c r="C490" s="14">
        <v>250</v>
      </c>
      <c r="D490" s="15">
        <v>0</v>
      </c>
    </row>
    <row r="491" spans="1:4" x14ac:dyDescent="0.2">
      <c r="A491" s="12">
        <v>323</v>
      </c>
      <c r="B491" s="13">
        <v>1</v>
      </c>
      <c r="C491" s="14">
        <v>400</v>
      </c>
      <c r="D491" s="15">
        <f>150-7-19.5-10.5-7-8.5-7</f>
        <v>90.5</v>
      </c>
    </row>
    <row r="492" spans="1:4" x14ac:dyDescent="0.2">
      <c r="A492" s="12">
        <v>324</v>
      </c>
      <c r="B492" s="13">
        <v>1</v>
      </c>
      <c r="C492" s="14">
        <v>320</v>
      </c>
      <c r="D492" s="15">
        <f>121.59246-9-9</f>
        <v>103.59246</v>
      </c>
    </row>
    <row r="493" spans="1:4" x14ac:dyDescent="0.2">
      <c r="A493" s="12" t="s">
        <v>5</v>
      </c>
      <c r="B493" s="13">
        <v>1</v>
      </c>
      <c r="C493" s="14">
        <v>400</v>
      </c>
      <c r="D493" s="15">
        <f>180-10.5-6-9</f>
        <v>154.5</v>
      </c>
    </row>
    <row r="494" spans="1:4" x14ac:dyDescent="0.2">
      <c r="A494" s="12" t="s">
        <v>5</v>
      </c>
      <c r="B494" s="13">
        <v>2</v>
      </c>
      <c r="C494" s="14">
        <v>250</v>
      </c>
      <c r="D494" s="15">
        <f>87.5763225-9-9</f>
        <v>69.576322500000003</v>
      </c>
    </row>
    <row r="495" spans="1:4" x14ac:dyDescent="0.2">
      <c r="A495" s="12">
        <v>325</v>
      </c>
      <c r="B495" s="13">
        <v>1</v>
      </c>
      <c r="C495" s="14">
        <v>200</v>
      </c>
      <c r="D495" s="15">
        <f>71.58249-10.5-10.5</f>
        <v>50.582490000000007</v>
      </c>
    </row>
    <row r="496" spans="1:4" x14ac:dyDescent="0.2">
      <c r="A496" s="12">
        <v>326</v>
      </c>
      <c r="B496" s="13">
        <v>1</v>
      </c>
      <c r="C496" s="14">
        <v>400</v>
      </c>
      <c r="D496" s="15">
        <f>143.31708-9-3.3-45</f>
        <v>86.017079999999993</v>
      </c>
    </row>
    <row r="497" spans="1:4" x14ac:dyDescent="0.2">
      <c r="A497" s="12">
        <v>326</v>
      </c>
      <c r="B497" s="13">
        <v>2</v>
      </c>
      <c r="C497" s="14">
        <v>400</v>
      </c>
      <c r="D497" s="15">
        <f>143.61291-5.4-3-45-7.2</f>
        <v>83.012909999999991</v>
      </c>
    </row>
    <row r="498" spans="1:4" x14ac:dyDescent="0.2">
      <c r="A498" s="12">
        <v>327</v>
      </c>
      <c r="B498" s="13">
        <v>1</v>
      </c>
      <c r="C498" s="14">
        <v>250</v>
      </c>
      <c r="D498" s="15">
        <f>94.3804125-23.46</f>
        <v>70.920412499999998</v>
      </c>
    </row>
    <row r="499" spans="1:4" x14ac:dyDescent="0.2">
      <c r="A499" s="12">
        <v>327</v>
      </c>
      <c r="B499" s="13">
        <v>2</v>
      </c>
      <c r="C499" s="14">
        <v>250</v>
      </c>
      <c r="D499" s="15">
        <v>87.946110000000004</v>
      </c>
    </row>
    <row r="500" spans="1:4" x14ac:dyDescent="0.2">
      <c r="A500" s="12">
        <v>328</v>
      </c>
      <c r="B500" s="13">
        <v>1</v>
      </c>
      <c r="C500" s="14">
        <v>400</v>
      </c>
      <c r="D500" s="15">
        <f>148.8638925-0.6-0.6</f>
        <v>147.6638925</v>
      </c>
    </row>
    <row r="501" spans="1:4" x14ac:dyDescent="0.2">
      <c r="A501" s="12">
        <v>328</v>
      </c>
      <c r="B501" s="13">
        <v>2</v>
      </c>
      <c r="C501" s="14">
        <v>400</v>
      </c>
      <c r="D501" s="15">
        <v>138.9535875</v>
      </c>
    </row>
    <row r="502" spans="1:4" x14ac:dyDescent="0.2">
      <c r="A502" s="12">
        <v>329</v>
      </c>
      <c r="B502" s="13">
        <v>1</v>
      </c>
      <c r="C502" s="14">
        <v>400</v>
      </c>
      <c r="D502" s="15">
        <v>178</v>
      </c>
    </row>
    <row r="503" spans="1:4" x14ac:dyDescent="0.2">
      <c r="A503" s="16">
        <v>330</v>
      </c>
      <c r="B503" s="13">
        <v>1</v>
      </c>
      <c r="C503" s="17">
        <v>400</v>
      </c>
      <c r="D503" s="15">
        <f>124.0141725-14-35-3.06-31.5</f>
        <v>40.454172499999999</v>
      </c>
    </row>
    <row r="504" spans="1:4" x14ac:dyDescent="0.2">
      <c r="A504" s="16">
        <v>330</v>
      </c>
      <c r="B504" s="13">
        <v>2</v>
      </c>
      <c r="C504" s="17">
        <v>400</v>
      </c>
      <c r="D504" s="15">
        <f>125.123535-7-1.35</f>
        <v>116.77353500000001</v>
      </c>
    </row>
    <row r="505" spans="1:4" x14ac:dyDescent="0.2">
      <c r="A505" s="16">
        <v>331</v>
      </c>
      <c r="B505" s="13">
        <v>1</v>
      </c>
      <c r="C505" s="17">
        <v>250</v>
      </c>
      <c r="D505" s="15">
        <v>86.171130000000005</v>
      </c>
    </row>
    <row r="506" spans="1:4" x14ac:dyDescent="0.2">
      <c r="A506" s="16">
        <v>331</v>
      </c>
      <c r="B506" s="13">
        <v>2</v>
      </c>
      <c r="C506" s="17">
        <v>250</v>
      </c>
      <c r="D506" s="15">
        <v>74.707717500000015</v>
      </c>
    </row>
    <row r="507" spans="1:4" x14ac:dyDescent="0.2">
      <c r="A507" s="12">
        <v>332</v>
      </c>
      <c r="B507" s="13">
        <v>1</v>
      </c>
      <c r="C507" s="14">
        <v>250</v>
      </c>
      <c r="D507" s="15">
        <v>98.300160000000005</v>
      </c>
    </row>
    <row r="508" spans="1:4" x14ac:dyDescent="0.2">
      <c r="A508" s="12">
        <v>332</v>
      </c>
      <c r="B508" s="13">
        <v>2</v>
      </c>
      <c r="C508" s="14">
        <v>250</v>
      </c>
      <c r="D508" s="15">
        <f>101.3324175-12</f>
        <v>89.332417500000005</v>
      </c>
    </row>
    <row r="509" spans="1:4" x14ac:dyDescent="0.2">
      <c r="A509" s="12">
        <v>333</v>
      </c>
      <c r="B509" s="13">
        <v>1</v>
      </c>
      <c r="C509" s="14">
        <v>315</v>
      </c>
      <c r="D509" s="15">
        <f>122.81688-9</f>
        <v>113.81688</v>
      </c>
    </row>
    <row r="510" spans="1:4" x14ac:dyDescent="0.2">
      <c r="A510" s="12">
        <v>333</v>
      </c>
      <c r="B510" s="13">
        <v>2</v>
      </c>
      <c r="C510" s="14">
        <v>320</v>
      </c>
      <c r="D510" s="15">
        <f>136.0865475-15-10.5</f>
        <v>110.58654749999999</v>
      </c>
    </row>
    <row r="511" spans="1:4" x14ac:dyDescent="0.2">
      <c r="A511" s="16">
        <v>334</v>
      </c>
      <c r="B511" s="13">
        <v>1</v>
      </c>
      <c r="C511" s="17">
        <v>400</v>
      </c>
      <c r="D511" s="15">
        <f>151.5263625-10.5</f>
        <v>141.0263625</v>
      </c>
    </row>
    <row r="512" spans="1:4" x14ac:dyDescent="0.2">
      <c r="A512" s="16">
        <v>334</v>
      </c>
      <c r="B512" s="13">
        <v>2</v>
      </c>
      <c r="C512" s="17">
        <v>400</v>
      </c>
      <c r="D512" s="15">
        <f>132.1494975-10.5-31.5-10.5-24.5</f>
        <v>55.149497499999995</v>
      </c>
    </row>
    <row r="513" spans="1:4" x14ac:dyDescent="0.2">
      <c r="A513" s="12">
        <v>335</v>
      </c>
      <c r="B513" s="13">
        <v>1</v>
      </c>
      <c r="C513" s="14">
        <v>315</v>
      </c>
      <c r="D513" s="15">
        <f>161.98086-8.25-8.25-5.5-5.5-8.25-77-8.25-8.25-2.75</f>
        <v>29.980860000000007</v>
      </c>
    </row>
    <row r="514" spans="1:4" x14ac:dyDescent="0.2">
      <c r="A514" s="16">
        <v>336</v>
      </c>
      <c r="B514" s="13">
        <v>1</v>
      </c>
      <c r="C514" s="17">
        <v>400</v>
      </c>
      <c r="D514" s="15">
        <f>120.981915-25.34-7</f>
        <v>88.641914999999997</v>
      </c>
    </row>
    <row r="515" spans="1:4" x14ac:dyDescent="0.2">
      <c r="A515" s="16">
        <v>336</v>
      </c>
      <c r="B515" s="13">
        <v>2</v>
      </c>
      <c r="C515" s="17">
        <v>400</v>
      </c>
      <c r="D515" s="15">
        <f>154.4846625-10.5-14-19.18</f>
        <v>110.80466250000001</v>
      </c>
    </row>
    <row r="516" spans="1:4" x14ac:dyDescent="0.2">
      <c r="A516" s="16">
        <v>337</v>
      </c>
      <c r="B516" s="13">
        <v>1</v>
      </c>
      <c r="C516" s="17">
        <v>400</v>
      </c>
      <c r="D516" s="15">
        <f>157.369005-25.2</f>
        <v>132.169005</v>
      </c>
    </row>
    <row r="517" spans="1:4" x14ac:dyDescent="0.2">
      <c r="A517" s="16">
        <v>337</v>
      </c>
      <c r="B517" s="13">
        <v>2</v>
      </c>
      <c r="C517" s="17">
        <v>400</v>
      </c>
      <c r="D517" s="15">
        <f>143.61291-9.45-21-2.8</f>
        <v>110.36291000000001</v>
      </c>
    </row>
    <row r="518" spans="1:4" x14ac:dyDescent="0.2">
      <c r="A518" s="16">
        <v>338</v>
      </c>
      <c r="B518" s="13">
        <v>1</v>
      </c>
      <c r="C518" s="17">
        <v>250</v>
      </c>
      <c r="D518" s="15">
        <v>0</v>
      </c>
    </row>
    <row r="519" spans="1:4" x14ac:dyDescent="0.2">
      <c r="A519" s="16">
        <v>338</v>
      </c>
      <c r="B519" s="13">
        <v>2</v>
      </c>
      <c r="C519" s="17">
        <v>250</v>
      </c>
      <c r="D519" s="15">
        <f>76.70457-10.5-23.1-10.5</f>
        <v>32.604570000000002</v>
      </c>
    </row>
    <row r="520" spans="1:4" x14ac:dyDescent="0.2">
      <c r="A520" s="16">
        <v>339</v>
      </c>
      <c r="B520" s="13">
        <v>1</v>
      </c>
      <c r="C520" s="17">
        <v>250</v>
      </c>
      <c r="D520" s="15">
        <f>103.92093-10.5-10.5</f>
        <v>82.920929999999998</v>
      </c>
    </row>
    <row r="521" spans="1:4" x14ac:dyDescent="0.2">
      <c r="A521" s="16">
        <v>339</v>
      </c>
      <c r="B521" s="13">
        <v>2</v>
      </c>
      <c r="C521" s="17">
        <v>250</v>
      </c>
      <c r="D521" s="15">
        <v>82.399297500000003</v>
      </c>
    </row>
    <row r="522" spans="1:4" x14ac:dyDescent="0.2">
      <c r="A522" s="16">
        <v>340</v>
      </c>
      <c r="B522" s="13">
        <v>1</v>
      </c>
      <c r="C522" s="17">
        <v>400</v>
      </c>
      <c r="D522" s="15">
        <v>137.47443749999999</v>
      </c>
    </row>
    <row r="523" spans="1:4" x14ac:dyDescent="0.2">
      <c r="A523" s="16">
        <v>340</v>
      </c>
      <c r="B523" s="13">
        <v>2</v>
      </c>
      <c r="C523" s="17">
        <v>400</v>
      </c>
      <c r="D523" s="15">
        <v>146.20142250000001</v>
      </c>
    </row>
    <row r="524" spans="1:4" x14ac:dyDescent="0.2">
      <c r="A524" s="12">
        <v>341</v>
      </c>
      <c r="B524" s="13">
        <v>1</v>
      </c>
      <c r="C524" s="14">
        <v>250</v>
      </c>
      <c r="D524" s="15">
        <v>111.73932000000001</v>
      </c>
    </row>
    <row r="525" spans="1:4" x14ac:dyDescent="0.2">
      <c r="A525" s="16">
        <v>342</v>
      </c>
      <c r="B525" s="13">
        <v>1</v>
      </c>
      <c r="C525" s="17">
        <v>400</v>
      </c>
      <c r="D525" s="15">
        <v>151.89615000000001</v>
      </c>
    </row>
    <row r="526" spans="1:4" x14ac:dyDescent="0.2">
      <c r="A526" s="16">
        <v>342</v>
      </c>
      <c r="B526" s="13">
        <v>2</v>
      </c>
      <c r="C526" s="17">
        <v>400</v>
      </c>
      <c r="D526" s="15">
        <v>136.29111750000001</v>
      </c>
    </row>
    <row r="527" spans="1:4" x14ac:dyDescent="0.2">
      <c r="A527" s="16">
        <v>343</v>
      </c>
      <c r="B527" s="13">
        <v>1</v>
      </c>
      <c r="C527" s="17">
        <v>315</v>
      </c>
      <c r="D527" s="15">
        <v>96.192180000000008</v>
      </c>
    </row>
    <row r="528" spans="1:4" x14ac:dyDescent="0.2">
      <c r="A528" s="16">
        <v>343</v>
      </c>
      <c r="B528" s="13">
        <v>2</v>
      </c>
      <c r="C528" s="17">
        <v>315</v>
      </c>
      <c r="D528" s="15">
        <v>105.43686750000001</v>
      </c>
    </row>
    <row r="529" spans="1:4" x14ac:dyDescent="0.2">
      <c r="A529" s="16">
        <v>344</v>
      </c>
      <c r="B529" s="13">
        <v>1</v>
      </c>
      <c r="C529" s="17">
        <v>400</v>
      </c>
      <c r="D529" s="15">
        <f>141.0243975-17.5-10.5-10.5-10.5-7-10.5</f>
        <v>74.524397499999992</v>
      </c>
    </row>
    <row r="530" spans="1:4" x14ac:dyDescent="0.2">
      <c r="A530" s="16">
        <v>344</v>
      </c>
      <c r="B530" s="13">
        <v>2</v>
      </c>
      <c r="C530" s="17">
        <v>400</v>
      </c>
      <c r="D530" s="15">
        <v>0</v>
      </c>
    </row>
    <row r="531" spans="1:4" x14ac:dyDescent="0.2">
      <c r="A531" s="16">
        <v>345</v>
      </c>
      <c r="B531" s="13">
        <v>1</v>
      </c>
      <c r="C531" s="17">
        <v>250</v>
      </c>
      <c r="D531" s="15">
        <v>60.138089999999998</v>
      </c>
    </row>
    <row r="532" spans="1:4" x14ac:dyDescent="0.2">
      <c r="A532" s="16">
        <v>345</v>
      </c>
      <c r="B532" s="13">
        <v>2</v>
      </c>
      <c r="C532" s="17">
        <v>250</v>
      </c>
      <c r="D532" s="15">
        <f>81.8076375-14-42</f>
        <v>25.807637499999998</v>
      </c>
    </row>
    <row r="533" spans="1:4" x14ac:dyDescent="0.2">
      <c r="A533" s="12">
        <v>346</v>
      </c>
      <c r="B533" s="13">
        <v>1</v>
      </c>
      <c r="C533" s="14">
        <v>400</v>
      </c>
      <c r="D533" s="15">
        <f>128.3037075-6.6-16.5-8.25</f>
        <v>96.953707500000007</v>
      </c>
    </row>
    <row r="534" spans="1:4" x14ac:dyDescent="0.2">
      <c r="A534" s="12">
        <v>346</v>
      </c>
      <c r="B534" s="13">
        <v>2</v>
      </c>
      <c r="C534" s="14">
        <v>400</v>
      </c>
      <c r="D534" s="15">
        <f>153.4492575-6.6-14.85</f>
        <v>131.9992575</v>
      </c>
    </row>
    <row r="535" spans="1:4" x14ac:dyDescent="0.2">
      <c r="A535" s="12">
        <v>347</v>
      </c>
      <c r="B535" s="13">
        <v>1</v>
      </c>
      <c r="C535" s="14">
        <v>400</v>
      </c>
      <c r="D535" s="15">
        <f>141.5421-8.25-5.5-5.78</f>
        <v>122.0121</v>
      </c>
    </row>
    <row r="536" spans="1:4" x14ac:dyDescent="0.2">
      <c r="A536" s="12">
        <v>347</v>
      </c>
      <c r="B536" s="13">
        <v>2</v>
      </c>
      <c r="C536" s="14">
        <v>400</v>
      </c>
      <c r="D536" s="15">
        <v>126.15894000000002</v>
      </c>
    </row>
    <row r="537" spans="1:4" x14ac:dyDescent="0.2">
      <c r="A537" s="18">
        <v>348</v>
      </c>
      <c r="B537" s="19">
        <v>1</v>
      </c>
      <c r="C537" s="20">
        <v>630</v>
      </c>
      <c r="D537" s="15">
        <v>0</v>
      </c>
    </row>
    <row r="538" spans="1:4" x14ac:dyDescent="0.2">
      <c r="A538" s="18">
        <v>348</v>
      </c>
      <c r="B538" s="19">
        <v>2</v>
      </c>
      <c r="C538" s="20">
        <v>630</v>
      </c>
      <c r="D538" s="15">
        <f>284-8.25-129.4-8.25-24.75-8.25-8.25</f>
        <v>96.85</v>
      </c>
    </row>
    <row r="539" spans="1:4" x14ac:dyDescent="0.2">
      <c r="A539" s="12">
        <v>350</v>
      </c>
      <c r="B539" s="13">
        <v>1</v>
      </c>
      <c r="C539" s="14">
        <v>250</v>
      </c>
      <c r="D539" s="15">
        <f>139.25151-9-3</f>
        <v>127.25151</v>
      </c>
    </row>
    <row r="540" spans="1:4" x14ac:dyDescent="0.2">
      <c r="A540" s="12">
        <v>351</v>
      </c>
      <c r="B540" s="13">
        <v>1</v>
      </c>
      <c r="C540" s="14">
        <v>400</v>
      </c>
      <c r="D540" s="15">
        <f>139.4178-3-22-1.08</f>
        <v>113.3378</v>
      </c>
    </row>
    <row r="541" spans="1:4" x14ac:dyDescent="0.2">
      <c r="A541" s="12">
        <v>352</v>
      </c>
      <c r="B541" s="13">
        <v>1</v>
      </c>
      <c r="C541" s="14">
        <v>630</v>
      </c>
      <c r="D541" s="15">
        <f>245.7077175-3-9-0.54-4.2-9-0.6</f>
        <v>219.36771750000003</v>
      </c>
    </row>
    <row r="542" spans="1:4" x14ac:dyDescent="0.2">
      <c r="A542" s="12">
        <v>352</v>
      </c>
      <c r="B542" s="13">
        <v>2</v>
      </c>
      <c r="C542" s="14">
        <v>630</v>
      </c>
      <c r="D542" s="15">
        <f>233.652645-9-18-9-12.9-0.06-27</f>
        <v>157.692645</v>
      </c>
    </row>
    <row r="543" spans="1:4" x14ac:dyDescent="0.2">
      <c r="A543" s="12">
        <v>353</v>
      </c>
      <c r="B543" s="13">
        <v>1</v>
      </c>
      <c r="C543" s="14">
        <v>250</v>
      </c>
      <c r="D543" s="15">
        <v>0</v>
      </c>
    </row>
    <row r="544" spans="1:4" x14ac:dyDescent="0.2">
      <c r="A544" s="12">
        <v>354</v>
      </c>
      <c r="B544" s="13">
        <v>1</v>
      </c>
      <c r="C544" s="14">
        <v>400</v>
      </c>
      <c r="D544" s="15">
        <v>0</v>
      </c>
    </row>
    <row r="545" spans="1:4" x14ac:dyDescent="0.2">
      <c r="A545" s="12">
        <v>354</v>
      </c>
      <c r="B545" s="13">
        <v>2</v>
      </c>
      <c r="C545" s="14">
        <v>400</v>
      </c>
      <c r="D545" s="15">
        <v>0</v>
      </c>
    </row>
    <row r="546" spans="1:4" x14ac:dyDescent="0.2">
      <c r="A546" s="12">
        <v>355</v>
      </c>
      <c r="B546" s="13">
        <v>1</v>
      </c>
      <c r="C546" s="14">
        <v>630</v>
      </c>
      <c r="D546" s="15">
        <f>216.05076-8.25-41.25-5.5</f>
        <v>161.05076</v>
      </c>
    </row>
    <row r="547" spans="1:4" x14ac:dyDescent="0.2">
      <c r="A547" s="12">
        <v>355</v>
      </c>
      <c r="B547" s="13">
        <v>2</v>
      </c>
      <c r="C547" s="14">
        <v>630</v>
      </c>
      <c r="D547" s="15">
        <f>241.048395-23.65-27.5-27.5-6-41.25-13.75</f>
        <v>101.39839499999999</v>
      </c>
    </row>
    <row r="548" spans="1:4" x14ac:dyDescent="0.2">
      <c r="A548" s="12">
        <v>356</v>
      </c>
      <c r="B548" s="13">
        <v>1</v>
      </c>
      <c r="C548" s="14">
        <v>400</v>
      </c>
      <c r="D548" s="15">
        <f>173.47112-9-6-0.6-9-0.54-6-36</f>
        <v>106.33112000000003</v>
      </c>
    </row>
    <row r="549" spans="1:4" x14ac:dyDescent="0.2">
      <c r="A549" s="12">
        <v>357</v>
      </c>
      <c r="B549" s="13">
        <v>1</v>
      </c>
      <c r="C549" s="14">
        <v>250</v>
      </c>
      <c r="D549" s="15">
        <f>92.08773-1.8-9-18</f>
        <v>63.287729999999996</v>
      </c>
    </row>
    <row r="550" spans="1:4" x14ac:dyDescent="0.2">
      <c r="A550" s="12">
        <v>357</v>
      </c>
      <c r="B550" s="13">
        <v>2</v>
      </c>
      <c r="C550" s="14">
        <v>250</v>
      </c>
      <c r="D550" s="15">
        <f>72.95739-3</f>
        <v>69.957390000000004</v>
      </c>
    </row>
    <row r="551" spans="1:4" x14ac:dyDescent="0.2">
      <c r="A551" s="12">
        <v>358</v>
      </c>
      <c r="B551" s="13">
        <v>1</v>
      </c>
      <c r="C551" s="14">
        <v>400</v>
      </c>
      <c r="D551" s="15">
        <f>144.20457-4.2-5.4-22.2-15-36</f>
        <v>61.404569999999993</v>
      </c>
    </row>
    <row r="552" spans="1:4" x14ac:dyDescent="0.2">
      <c r="A552" s="12">
        <v>358</v>
      </c>
      <c r="B552" s="13">
        <v>2</v>
      </c>
      <c r="C552" s="14">
        <v>400</v>
      </c>
      <c r="D552" s="15">
        <f>101.80227-30-5.4-53.4-5.4</f>
        <v>7.6022699999999883</v>
      </c>
    </row>
    <row r="553" spans="1:4" x14ac:dyDescent="0.2">
      <c r="A553" s="12">
        <v>359</v>
      </c>
      <c r="B553" s="13">
        <v>1</v>
      </c>
      <c r="C553" s="14">
        <v>250</v>
      </c>
      <c r="D553" s="15">
        <f>115.68372-9</f>
        <v>106.68371999999999</v>
      </c>
    </row>
    <row r="554" spans="1:4" x14ac:dyDescent="0.2">
      <c r="A554" s="12">
        <v>360</v>
      </c>
      <c r="B554" s="13">
        <v>1</v>
      </c>
      <c r="C554" s="14">
        <v>200</v>
      </c>
      <c r="D554" s="15">
        <f>91.4031-8.25</f>
        <v>83.153099999999995</v>
      </c>
    </row>
    <row r="555" spans="1:4" x14ac:dyDescent="0.2">
      <c r="A555" s="12">
        <v>361</v>
      </c>
      <c r="B555" s="13">
        <v>1</v>
      </c>
      <c r="C555" s="14">
        <v>400</v>
      </c>
      <c r="D555" s="15">
        <v>162.94047</v>
      </c>
    </row>
    <row r="556" spans="1:4" x14ac:dyDescent="0.2">
      <c r="A556" s="12">
        <v>361</v>
      </c>
      <c r="B556" s="13">
        <v>2</v>
      </c>
      <c r="C556" s="14">
        <v>400</v>
      </c>
      <c r="D556" s="15">
        <f>87.10938-9-6-3-6-9-7.92</f>
        <v>46.18938</v>
      </c>
    </row>
    <row r="557" spans="1:4" x14ac:dyDescent="0.2">
      <c r="A557" s="12">
        <v>362</v>
      </c>
      <c r="B557" s="13">
        <v>1</v>
      </c>
      <c r="C557" s="14">
        <v>400</v>
      </c>
      <c r="D557" s="15">
        <f>151.00866-3-3.6</f>
        <v>144.40866</v>
      </c>
    </row>
    <row r="558" spans="1:4" x14ac:dyDescent="0.2">
      <c r="A558" s="12">
        <v>362</v>
      </c>
      <c r="B558" s="13">
        <v>2</v>
      </c>
      <c r="C558" s="14">
        <v>400</v>
      </c>
      <c r="D558" s="15">
        <f>145.09206-6</f>
        <v>139.09206</v>
      </c>
    </row>
    <row r="559" spans="1:4" x14ac:dyDescent="0.2">
      <c r="A559" s="12">
        <v>363</v>
      </c>
      <c r="B559" s="13">
        <v>1</v>
      </c>
      <c r="C559" s="14">
        <v>400</v>
      </c>
      <c r="D559" s="15">
        <f>113.14242-6.7-10.5</f>
        <v>95.942419999999998</v>
      </c>
    </row>
    <row r="560" spans="1:4" x14ac:dyDescent="0.2">
      <c r="A560" s="12">
        <v>363</v>
      </c>
      <c r="B560" s="13">
        <v>2</v>
      </c>
      <c r="C560" s="14">
        <v>400</v>
      </c>
      <c r="D560" s="15">
        <f>149.6034675-6.32-3.54-10.5</f>
        <v>129.24346750000001</v>
      </c>
    </row>
    <row r="561" spans="1:4" x14ac:dyDescent="0.2">
      <c r="A561" s="12">
        <v>364</v>
      </c>
      <c r="B561" s="13">
        <v>1</v>
      </c>
      <c r="C561" s="14">
        <v>250</v>
      </c>
      <c r="D561" s="15">
        <f>102.76581-6</f>
        <v>96.765810000000002</v>
      </c>
    </row>
    <row r="562" spans="1:4" x14ac:dyDescent="0.2">
      <c r="A562" s="12">
        <v>365</v>
      </c>
      <c r="B562" s="13">
        <v>1</v>
      </c>
      <c r="C562" s="14">
        <v>400</v>
      </c>
      <c r="D562" s="15">
        <f>160.81617-10.5-24.75-9-0.55-5.91-2.75-3.3-2.75-2.75-3.3-5.5-2.75-2.75-2.75-1.1-9.35-3.3-6.6</f>
        <v>61.156170000000024</v>
      </c>
    </row>
    <row r="563" spans="1:4" x14ac:dyDescent="0.2">
      <c r="A563" s="12">
        <v>366</v>
      </c>
      <c r="B563" s="13">
        <v>1</v>
      </c>
      <c r="C563" s="14">
        <v>400</v>
      </c>
      <c r="D563" s="15">
        <f>136.1432025-6.3-10.5-17.5</f>
        <v>101.84320249999999</v>
      </c>
    </row>
    <row r="564" spans="1:4" x14ac:dyDescent="0.2">
      <c r="A564" s="12">
        <v>366</v>
      </c>
      <c r="B564" s="13">
        <v>2</v>
      </c>
      <c r="C564" s="14">
        <v>400</v>
      </c>
      <c r="D564" s="15">
        <f>174.6011025-6.3</f>
        <v>168.30110249999998</v>
      </c>
    </row>
    <row r="565" spans="1:4" x14ac:dyDescent="0.2">
      <c r="A565" s="12">
        <v>367</v>
      </c>
      <c r="B565" s="13">
        <v>1</v>
      </c>
      <c r="C565" s="14">
        <v>250</v>
      </c>
      <c r="D565" s="15">
        <f>88.07292-5.6-10.5-5.6</f>
        <v>66.372920000000008</v>
      </c>
    </row>
    <row r="566" spans="1:4" x14ac:dyDescent="0.2">
      <c r="A566" s="12">
        <v>368</v>
      </c>
      <c r="B566" s="13">
        <v>1</v>
      </c>
      <c r="C566" s="14">
        <v>400</v>
      </c>
      <c r="D566" s="15">
        <f>142.62681-6-18</f>
        <v>118.62681000000001</v>
      </c>
    </row>
    <row r="567" spans="1:4" x14ac:dyDescent="0.2">
      <c r="A567" s="12">
        <v>368</v>
      </c>
      <c r="B567" s="13">
        <v>2</v>
      </c>
      <c r="C567" s="14">
        <v>400</v>
      </c>
      <c r="D567" s="15">
        <v>159.68634</v>
      </c>
    </row>
    <row r="568" spans="1:4" x14ac:dyDescent="0.2">
      <c r="A568" s="12">
        <v>369</v>
      </c>
      <c r="B568" s="13">
        <v>1</v>
      </c>
      <c r="C568" s="14">
        <v>400</v>
      </c>
      <c r="D568" s="15">
        <f>111.07161-10.5-21-1.33</f>
        <v>78.241610000000009</v>
      </c>
    </row>
    <row r="569" spans="1:4" x14ac:dyDescent="0.2">
      <c r="A569" s="12">
        <v>369</v>
      </c>
      <c r="B569" s="13">
        <v>2</v>
      </c>
      <c r="C569" s="14">
        <v>400</v>
      </c>
      <c r="D569" s="15">
        <f>149.82534-0.7-15.4</f>
        <v>133.72534000000002</v>
      </c>
    </row>
    <row r="570" spans="1:4" x14ac:dyDescent="0.2">
      <c r="A570" s="12">
        <v>370</v>
      </c>
      <c r="B570" s="13">
        <v>1</v>
      </c>
      <c r="C570" s="14">
        <v>400</v>
      </c>
      <c r="D570" s="15">
        <v>158.15369999999999</v>
      </c>
    </row>
    <row r="571" spans="1:4" x14ac:dyDescent="0.2">
      <c r="A571" s="12">
        <v>371</v>
      </c>
      <c r="B571" s="13">
        <v>1</v>
      </c>
      <c r="C571" s="14">
        <v>160</v>
      </c>
      <c r="D571" s="15">
        <f>73.71414-10.5</f>
        <v>63.21414</v>
      </c>
    </row>
    <row r="572" spans="1:4" x14ac:dyDescent="0.2">
      <c r="A572" s="12">
        <v>372</v>
      </c>
      <c r="B572" s="13">
        <v>1</v>
      </c>
      <c r="C572" s="14">
        <v>160</v>
      </c>
      <c r="D572" s="15">
        <f>77.85576-4.9-0.6-0.54</f>
        <v>71.815759999999997</v>
      </c>
    </row>
    <row r="573" spans="1:4" x14ac:dyDescent="0.2">
      <c r="A573" s="12">
        <v>373</v>
      </c>
      <c r="B573" s="13">
        <v>1</v>
      </c>
      <c r="C573" s="14">
        <v>400</v>
      </c>
      <c r="D573" s="15">
        <f>250-10.5-0.7-7.35-17.5-10.5-10.5</f>
        <v>192.95000000000002</v>
      </c>
    </row>
    <row r="574" spans="1:4" x14ac:dyDescent="0.2">
      <c r="A574" s="12">
        <v>373</v>
      </c>
      <c r="B574" s="13">
        <v>2</v>
      </c>
      <c r="C574" s="14">
        <v>400</v>
      </c>
      <c r="D574" s="15">
        <v>141.69001499999999</v>
      </c>
    </row>
    <row r="575" spans="1:4" x14ac:dyDescent="0.2">
      <c r="A575" s="12">
        <v>374</v>
      </c>
      <c r="B575" s="13">
        <v>1</v>
      </c>
      <c r="C575" s="14">
        <v>250</v>
      </c>
      <c r="D575" s="15">
        <f>88.17153-7-8.4-7-24.5-7-1.26</f>
        <v>33.01153</v>
      </c>
    </row>
    <row r="576" spans="1:4" x14ac:dyDescent="0.2">
      <c r="A576" s="12">
        <v>375</v>
      </c>
      <c r="B576" s="13">
        <v>1</v>
      </c>
      <c r="C576" s="14">
        <v>400</v>
      </c>
      <c r="D576" s="15">
        <f>178.46736-3-0.7</f>
        <v>174.76736000000002</v>
      </c>
    </row>
    <row r="577" spans="1:4" x14ac:dyDescent="0.2">
      <c r="A577" s="12">
        <v>376</v>
      </c>
      <c r="B577" s="13">
        <v>1</v>
      </c>
      <c r="C577" s="14">
        <v>250</v>
      </c>
      <c r="D577" s="15">
        <f>92.18634-0.06-9-18-12-10.5-12</f>
        <v>30.626339999999999</v>
      </c>
    </row>
    <row r="578" spans="1:4" x14ac:dyDescent="0.2">
      <c r="A578" s="12">
        <v>376</v>
      </c>
      <c r="B578" s="13">
        <v>2</v>
      </c>
      <c r="C578" s="14">
        <v>250</v>
      </c>
      <c r="D578" s="15">
        <f>112.5-24</f>
        <v>88.5</v>
      </c>
    </row>
    <row r="579" spans="1:4" x14ac:dyDescent="0.2">
      <c r="A579" s="12">
        <v>377</v>
      </c>
      <c r="B579" s="13">
        <v>1</v>
      </c>
      <c r="C579" s="14">
        <v>250</v>
      </c>
      <c r="D579" s="15">
        <f>99.4095225-9</f>
        <v>90.409522499999994</v>
      </c>
    </row>
    <row r="580" spans="1:4" x14ac:dyDescent="0.2">
      <c r="A580" s="12">
        <v>377</v>
      </c>
      <c r="B580" s="13">
        <v>2</v>
      </c>
      <c r="C580" s="14">
        <v>250</v>
      </c>
      <c r="D580" s="15">
        <v>100.44492750000001</v>
      </c>
    </row>
    <row r="581" spans="1:4" x14ac:dyDescent="0.2">
      <c r="A581" s="12">
        <v>378</v>
      </c>
      <c r="B581" s="13">
        <v>1</v>
      </c>
      <c r="C581" s="14">
        <v>400</v>
      </c>
      <c r="D581" s="15">
        <f>106.4122875-3-0.21</f>
        <v>103.20228750000001</v>
      </c>
    </row>
    <row r="582" spans="1:4" x14ac:dyDescent="0.2">
      <c r="A582" s="12">
        <v>378</v>
      </c>
      <c r="B582" s="13">
        <v>2</v>
      </c>
      <c r="C582" s="14">
        <v>400</v>
      </c>
      <c r="D582" s="15">
        <f>149.381595-18-7.8</f>
        <v>123.58159500000001</v>
      </c>
    </row>
    <row r="583" spans="1:4" x14ac:dyDescent="0.2">
      <c r="A583" s="12">
        <v>379</v>
      </c>
      <c r="B583" s="13">
        <v>1</v>
      </c>
      <c r="C583" s="14">
        <v>400</v>
      </c>
      <c r="D583" s="15">
        <f>215.44611-28.8</f>
        <v>186.64610999999999</v>
      </c>
    </row>
    <row r="584" spans="1:4" x14ac:dyDescent="0.2">
      <c r="A584" s="12">
        <v>380</v>
      </c>
      <c r="B584" s="13">
        <v>1</v>
      </c>
      <c r="C584" s="14">
        <v>400</v>
      </c>
      <c r="D584" s="15">
        <f>194.6394-0.3</f>
        <v>194.33939999999998</v>
      </c>
    </row>
    <row r="585" spans="1:4" x14ac:dyDescent="0.2">
      <c r="A585" s="12">
        <v>381</v>
      </c>
      <c r="B585" s="13">
        <v>1</v>
      </c>
      <c r="C585" s="14">
        <v>400</v>
      </c>
      <c r="D585" s="15">
        <f>179.74929-1.2-18.6-4.8-0.16</f>
        <v>154.98929000000001</v>
      </c>
    </row>
    <row r="586" spans="1:4" x14ac:dyDescent="0.2">
      <c r="A586" s="12">
        <v>382</v>
      </c>
      <c r="B586" s="13">
        <v>1</v>
      </c>
      <c r="C586" s="14">
        <v>400</v>
      </c>
      <c r="D586" s="15">
        <f>127.490175-9-10.5</f>
        <v>107.99017499999999</v>
      </c>
    </row>
    <row r="587" spans="1:4" x14ac:dyDescent="0.2">
      <c r="A587" s="12">
        <v>382</v>
      </c>
      <c r="B587" s="13">
        <v>2</v>
      </c>
      <c r="C587" s="14">
        <v>400</v>
      </c>
      <c r="D587" s="15">
        <f>167.57514-6.9</f>
        <v>160.67514</v>
      </c>
    </row>
    <row r="588" spans="1:4" x14ac:dyDescent="0.2">
      <c r="A588" s="12">
        <v>383</v>
      </c>
      <c r="B588" s="13">
        <v>1</v>
      </c>
      <c r="C588" s="14">
        <v>250</v>
      </c>
      <c r="D588" s="15">
        <f>101.38527-4.95-4.4-3.3</f>
        <v>88.73527</v>
      </c>
    </row>
    <row r="589" spans="1:4" x14ac:dyDescent="0.2">
      <c r="A589" s="12">
        <v>384</v>
      </c>
      <c r="B589" s="13">
        <v>1</v>
      </c>
      <c r="C589" s="14">
        <v>400</v>
      </c>
      <c r="D589" s="15">
        <f>151.60032-9-8.22-6-3.6-7-7</f>
        <v>110.78032000000002</v>
      </c>
    </row>
    <row r="590" spans="1:4" x14ac:dyDescent="0.2">
      <c r="A590" s="12">
        <v>384</v>
      </c>
      <c r="B590" s="13">
        <v>2</v>
      </c>
      <c r="C590" s="14">
        <v>400</v>
      </c>
      <c r="D590" s="15">
        <v>121.42565999999999</v>
      </c>
    </row>
    <row r="591" spans="1:4" x14ac:dyDescent="0.2">
      <c r="A591" s="12">
        <v>385</v>
      </c>
      <c r="B591" s="13">
        <v>1</v>
      </c>
      <c r="C591" s="14">
        <v>400</v>
      </c>
      <c r="D591" s="15">
        <f>143.5389525-3.6-6-8.22</f>
        <v>125.7189525</v>
      </c>
    </row>
    <row r="592" spans="1:4" x14ac:dyDescent="0.2">
      <c r="A592" s="12">
        <v>385</v>
      </c>
      <c r="B592" s="13">
        <v>2</v>
      </c>
      <c r="C592" s="14">
        <v>400</v>
      </c>
      <c r="D592" s="15">
        <f>145.38789-8.4</f>
        <v>136.98788999999999</v>
      </c>
    </row>
    <row r="593" spans="1:4" x14ac:dyDescent="0.2">
      <c r="A593" s="12">
        <v>386</v>
      </c>
      <c r="B593" s="13">
        <v>1</v>
      </c>
      <c r="C593" s="14">
        <v>400</v>
      </c>
      <c r="D593" s="15">
        <f>110.332035-8.25-8.25</f>
        <v>93.832035000000005</v>
      </c>
    </row>
    <row r="594" spans="1:4" x14ac:dyDescent="0.2">
      <c r="A594" s="12">
        <v>386</v>
      </c>
      <c r="B594" s="13">
        <v>2</v>
      </c>
      <c r="C594" s="14">
        <v>400</v>
      </c>
      <c r="D594" s="15">
        <f>164.0991375-8.8</f>
        <v>155.2991375</v>
      </c>
    </row>
    <row r="595" spans="1:4" x14ac:dyDescent="0.2">
      <c r="A595" s="12">
        <v>387</v>
      </c>
      <c r="B595" s="13">
        <v>1</v>
      </c>
      <c r="C595" s="14">
        <v>250</v>
      </c>
      <c r="D595" s="15">
        <v>84.396150000000006</v>
      </c>
    </row>
    <row r="596" spans="1:4" x14ac:dyDescent="0.2">
      <c r="A596" s="12">
        <v>387</v>
      </c>
      <c r="B596" s="13">
        <v>2</v>
      </c>
      <c r="C596" s="14">
        <v>250</v>
      </c>
      <c r="D596" s="15">
        <f>81.73368-11.2</f>
        <v>70.533680000000004</v>
      </c>
    </row>
    <row r="597" spans="1:4" x14ac:dyDescent="0.2">
      <c r="A597" s="12">
        <v>388</v>
      </c>
      <c r="B597" s="13">
        <v>1</v>
      </c>
      <c r="C597" s="14">
        <v>400</v>
      </c>
      <c r="D597" s="15">
        <f>114.02991-11-4.4</f>
        <v>98.629909999999995</v>
      </c>
    </row>
    <row r="598" spans="1:4" x14ac:dyDescent="0.2">
      <c r="A598" s="12">
        <v>388</v>
      </c>
      <c r="B598" s="13">
        <v>2</v>
      </c>
      <c r="C598" s="14">
        <v>400</v>
      </c>
      <c r="D598" s="15">
        <f>140.65461-6.8-5.5-3.85-16.5-8.25-44</f>
        <v>55.754609999999985</v>
      </c>
    </row>
    <row r="599" spans="1:4" x14ac:dyDescent="0.2">
      <c r="A599" s="12">
        <v>389</v>
      </c>
      <c r="B599" s="13">
        <v>1</v>
      </c>
      <c r="C599" s="14">
        <v>400</v>
      </c>
      <c r="D599" s="15">
        <f>184.7784-9-1.2-3</f>
        <v>171.57840000000002</v>
      </c>
    </row>
    <row r="600" spans="1:4" x14ac:dyDescent="0.2">
      <c r="A600" s="12">
        <v>390</v>
      </c>
      <c r="B600" s="13">
        <v>1</v>
      </c>
      <c r="C600" s="14">
        <v>400</v>
      </c>
      <c r="D600" s="15">
        <f>184.28535-10.5-84</f>
        <v>89.785349999999994</v>
      </c>
    </row>
    <row r="601" spans="1:4" x14ac:dyDescent="0.2">
      <c r="A601" s="12">
        <v>391</v>
      </c>
      <c r="B601" s="13">
        <v>1</v>
      </c>
      <c r="C601" s="14">
        <v>400</v>
      </c>
      <c r="D601" s="15">
        <f>150.7867875-8.4</f>
        <v>142.3867875</v>
      </c>
    </row>
    <row r="602" spans="1:4" x14ac:dyDescent="0.2">
      <c r="A602" s="12">
        <v>391</v>
      </c>
      <c r="B602" s="13">
        <v>2</v>
      </c>
      <c r="C602" s="14">
        <v>400</v>
      </c>
      <c r="D602" s="15">
        <f>138.140055-8.4</f>
        <v>129.74005499999998</v>
      </c>
    </row>
    <row r="603" spans="1:4" x14ac:dyDescent="0.2">
      <c r="A603" s="12">
        <v>392</v>
      </c>
      <c r="B603" s="13">
        <v>1</v>
      </c>
      <c r="C603" s="14">
        <v>250</v>
      </c>
      <c r="D603" s="15">
        <v>101.110545</v>
      </c>
    </row>
    <row r="604" spans="1:4" x14ac:dyDescent="0.2">
      <c r="A604" s="12">
        <v>392</v>
      </c>
      <c r="B604" s="13">
        <v>2</v>
      </c>
      <c r="C604" s="14">
        <v>250</v>
      </c>
      <c r="D604" s="15">
        <v>88.094025000000002</v>
      </c>
    </row>
    <row r="605" spans="1:4" x14ac:dyDescent="0.2">
      <c r="A605" s="12">
        <v>393</v>
      </c>
      <c r="B605" s="13">
        <v>1</v>
      </c>
      <c r="C605" s="14">
        <v>400</v>
      </c>
      <c r="D605" s="15">
        <f>124.7537475-14.4-4.13-8.25</f>
        <v>97.973747500000002</v>
      </c>
    </row>
    <row r="606" spans="1:4" x14ac:dyDescent="0.2">
      <c r="A606" s="12">
        <v>393</v>
      </c>
      <c r="B606" s="13">
        <v>2</v>
      </c>
      <c r="C606" s="14">
        <v>400</v>
      </c>
      <c r="D606" s="15">
        <v>128.673495</v>
      </c>
    </row>
    <row r="607" spans="1:4" x14ac:dyDescent="0.2">
      <c r="A607" s="12">
        <v>394</v>
      </c>
      <c r="B607" s="13">
        <v>1</v>
      </c>
      <c r="C607" s="14">
        <v>400</v>
      </c>
      <c r="D607" s="15">
        <f>142.6514625-28-42-42-21</f>
        <v>9.651462500000008</v>
      </c>
    </row>
    <row r="608" spans="1:4" x14ac:dyDescent="0.2">
      <c r="A608" s="12">
        <v>394</v>
      </c>
      <c r="B608" s="13">
        <v>2</v>
      </c>
      <c r="C608" s="14">
        <v>250</v>
      </c>
      <c r="D608" s="15">
        <f>82.177425-7</f>
        <v>75.177424999999999</v>
      </c>
    </row>
    <row r="609" spans="1:4" x14ac:dyDescent="0.2">
      <c r="A609" s="12">
        <v>395</v>
      </c>
      <c r="B609" s="13">
        <v>1</v>
      </c>
      <c r="C609" s="14">
        <v>250</v>
      </c>
      <c r="D609" s="15">
        <f>87.94611-9</f>
        <v>78.946110000000004</v>
      </c>
    </row>
    <row r="610" spans="1:4" x14ac:dyDescent="0.2">
      <c r="A610" s="12">
        <v>395</v>
      </c>
      <c r="B610" s="13">
        <v>2</v>
      </c>
      <c r="C610" s="14">
        <v>250</v>
      </c>
      <c r="D610" s="15">
        <f>99.335565-7-48-39.2</f>
        <v>5.1355649999999997</v>
      </c>
    </row>
    <row r="611" spans="1:4" x14ac:dyDescent="0.2">
      <c r="A611" s="12">
        <v>396</v>
      </c>
      <c r="B611" s="13">
        <v>1</v>
      </c>
      <c r="C611" s="14">
        <v>250</v>
      </c>
      <c r="D611" s="15">
        <f>75.8910375-1.44</f>
        <v>74.451037499999998</v>
      </c>
    </row>
    <row r="612" spans="1:4" x14ac:dyDescent="0.2">
      <c r="A612" s="12">
        <v>396</v>
      </c>
      <c r="B612" s="13">
        <v>2</v>
      </c>
      <c r="C612" s="14">
        <v>250</v>
      </c>
      <c r="D612" s="15">
        <f>96.52518-26.4-8.25-38.5-8.25</f>
        <v>15.12518</v>
      </c>
    </row>
    <row r="613" spans="1:4" x14ac:dyDescent="0.2">
      <c r="A613" s="12">
        <v>397</v>
      </c>
      <c r="B613" s="13">
        <v>1</v>
      </c>
      <c r="C613" s="14">
        <v>630</v>
      </c>
      <c r="D613" s="15">
        <f>238.73106-33</f>
        <v>205.73106000000001</v>
      </c>
    </row>
    <row r="614" spans="1:4" x14ac:dyDescent="0.2">
      <c r="A614" s="12">
        <v>397</v>
      </c>
      <c r="B614" s="13">
        <v>2</v>
      </c>
      <c r="C614" s="14">
        <v>630</v>
      </c>
      <c r="D614" s="15">
        <f>231.82836-12-13.2-9</f>
        <v>197.62836000000001</v>
      </c>
    </row>
    <row r="615" spans="1:4" x14ac:dyDescent="0.2">
      <c r="A615" s="12">
        <v>398</v>
      </c>
      <c r="B615" s="13">
        <v>1</v>
      </c>
      <c r="C615" s="14">
        <v>400</v>
      </c>
      <c r="D615" s="15">
        <f>101.2886-7.2-9-9-9-6.6-12.6</f>
        <v>47.888599999999997</v>
      </c>
    </row>
    <row r="616" spans="1:4" x14ac:dyDescent="0.2">
      <c r="A616" s="12">
        <v>399</v>
      </c>
      <c r="B616" s="13">
        <v>1</v>
      </c>
      <c r="C616" s="14">
        <v>400</v>
      </c>
      <c r="D616" s="15">
        <f>130-9-30-7.29-9</f>
        <v>74.709999999999994</v>
      </c>
    </row>
    <row r="617" spans="1:4" x14ac:dyDescent="0.2">
      <c r="A617" s="12">
        <v>399</v>
      </c>
      <c r="B617" s="13">
        <v>2</v>
      </c>
      <c r="C617" s="14">
        <v>250</v>
      </c>
      <c r="D617" s="15">
        <f>75.22542-3.6</f>
        <v>71.625420000000005</v>
      </c>
    </row>
    <row r="618" spans="1:4" x14ac:dyDescent="0.2">
      <c r="A618" s="12">
        <v>400</v>
      </c>
      <c r="B618" s="13">
        <v>1</v>
      </c>
      <c r="C618" s="14">
        <v>630</v>
      </c>
      <c r="D618" s="15">
        <f>219.79794-77-2.75-8.25-7.8</f>
        <v>123.99794000000001</v>
      </c>
    </row>
    <row r="619" spans="1:4" x14ac:dyDescent="0.2">
      <c r="A619" s="12">
        <v>400</v>
      </c>
      <c r="B619" s="13">
        <v>2</v>
      </c>
      <c r="C619" s="14">
        <v>630</v>
      </c>
      <c r="D619" s="15">
        <f>234.98388-77-1.38-3.5</f>
        <v>153.10388</v>
      </c>
    </row>
    <row r="620" spans="1:4" x14ac:dyDescent="0.2">
      <c r="A620" s="12">
        <v>401</v>
      </c>
      <c r="B620" s="13">
        <v>1</v>
      </c>
      <c r="C620" s="14">
        <v>630</v>
      </c>
      <c r="D620" s="15">
        <f>233-8.25-13.75-6.88-5.5-27.5-0.6</f>
        <v>170.52</v>
      </c>
    </row>
    <row r="621" spans="1:4" x14ac:dyDescent="0.2">
      <c r="A621" s="12">
        <v>401</v>
      </c>
      <c r="B621" s="13">
        <v>2</v>
      </c>
      <c r="C621" s="14">
        <v>400</v>
      </c>
      <c r="D621" s="15">
        <f>137.99214-6-6-10.45-6.05-6.3</f>
        <v>103.19214000000001</v>
      </c>
    </row>
    <row r="622" spans="1:4" x14ac:dyDescent="0.2">
      <c r="A622" s="12">
        <v>402</v>
      </c>
      <c r="B622" s="13">
        <v>1</v>
      </c>
      <c r="C622" s="14">
        <v>315</v>
      </c>
      <c r="D622" s="15">
        <v>115.73276999999999</v>
      </c>
    </row>
    <row r="623" spans="1:4" x14ac:dyDescent="0.2">
      <c r="A623" s="12">
        <v>403</v>
      </c>
      <c r="B623" s="13">
        <v>1</v>
      </c>
      <c r="C623" s="14">
        <v>400</v>
      </c>
      <c r="D623" s="15">
        <f>136.80882-27</f>
        <v>109.80882</v>
      </c>
    </row>
    <row r="624" spans="1:4" x14ac:dyDescent="0.2">
      <c r="A624" s="12">
        <v>403</v>
      </c>
      <c r="B624" s="13">
        <v>2</v>
      </c>
      <c r="C624" s="14">
        <v>400</v>
      </c>
      <c r="D624" s="15">
        <f>179.50695-5.4-27</f>
        <v>147.10694999999998</v>
      </c>
    </row>
    <row r="625" spans="1:4" x14ac:dyDescent="0.2">
      <c r="A625" s="12">
        <v>404</v>
      </c>
      <c r="B625" s="13">
        <v>1</v>
      </c>
      <c r="C625" s="14">
        <v>250</v>
      </c>
      <c r="D625" s="15">
        <v>60.286004999999996</v>
      </c>
    </row>
    <row r="626" spans="1:4" x14ac:dyDescent="0.2">
      <c r="A626" s="12">
        <v>404</v>
      </c>
      <c r="B626" s="13">
        <v>2</v>
      </c>
      <c r="C626" s="14">
        <v>250</v>
      </c>
      <c r="D626" s="15">
        <v>92.975220000000007</v>
      </c>
    </row>
    <row r="627" spans="1:4" x14ac:dyDescent="0.2">
      <c r="A627" s="12">
        <v>405</v>
      </c>
      <c r="B627" s="13">
        <v>1</v>
      </c>
      <c r="C627" s="14">
        <v>400</v>
      </c>
      <c r="D627" s="15">
        <f>165.54945-21</f>
        <v>144.54945000000001</v>
      </c>
    </row>
    <row r="628" spans="1:4" x14ac:dyDescent="0.2">
      <c r="A628" s="12">
        <v>406</v>
      </c>
      <c r="B628" s="13">
        <v>1</v>
      </c>
      <c r="C628" s="14">
        <v>400</v>
      </c>
      <c r="D628" s="15">
        <f>186-21.6-3</f>
        <v>161.4</v>
      </c>
    </row>
    <row r="629" spans="1:4" x14ac:dyDescent="0.2">
      <c r="A629" s="12">
        <v>407</v>
      </c>
      <c r="B629" s="13">
        <v>1</v>
      </c>
      <c r="C629" s="14">
        <v>400</v>
      </c>
      <c r="D629" s="15">
        <f>165.10989-6</f>
        <v>159.10989000000001</v>
      </c>
    </row>
    <row r="630" spans="1:4" x14ac:dyDescent="0.2">
      <c r="A630" s="12">
        <v>407</v>
      </c>
      <c r="B630" s="13">
        <v>2</v>
      </c>
      <c r="C630" s="14">
        <v>400</v>
      </c>
      <c r="D630" s="15">
        <v>161.16549000000001</v>
      </c>
    </row>
    <row r="631" spans="1:4" x14ac:dyDescent="0.2">
      <c r="A631" s="12">
        <v>408</v>
      </c>
      <c r="B631" s="13">
        <v>1</v>
      </c>
      <c r="C631" s="14">
        <v>250</v>
      </c>
      <c r="D631" s="15">
        <v>92.087729999999993</v>
      </c>
    </row>
    <row r="632" spans="1:4" x14ac:dyDescent="0.2">
      <c r="A632" s="12">
        <v>408</v>
      </c>
      <c r="B632" s="13">
        <v>2</v>
      </c>
      <c r="C632" s="14">
        <v>250</v>
      </c>
      <c r="D632" s="15">
        <f>98.0782875-0.06-9</f>
        <v>89.0182875</v>
      </c>
    </row>
    <row r="633" spans="1:4" x14ac:dyDescent="0.2">
      <c r="A633" s="12">
        <v>409</v>
      </c>
      <c r="B633" s="13">
        <v>1</v>
      </c>
      <c r="C633" s="14">
        <v>250</v>
      </c>
      <c r="D633" s="15">
        <f>80.25453-6-5.95-7.2</f>
        <v>61.104529999999997</v>
      </c>
    </row>
    <row r="634" spans="1:4" x14ac:dyDescent="0.2">
      <c r="A634" s="12">
        <v>409</v>
      </c>
      <c r="B634" s="13">
        <v>2</v>
      </c>
      <c r="C634" s="14">
        <v>250</v>
      </c>
      <c r="D634" s="15">
        <f>93.123135-6</f>
        <v>87.123135000000005</v>
      </c>
    </row>
    <row r="635" spans="1:4" x14ac:dyDescent="0.2">
      <c r="A635" s="12">
        <v>410</v>
      </c>
      <c r="B635" s="13">
        <v>1</v>
      </c>
      <c r="C635" s="14">
        <v>160</v>
      </c>
      <c r="D635" s="15">
        <v>0</v>
      </c>
    </row>
    <row r="636" spans="1:4" x14ac:dyDescent="0.2">
      <c r="A636" s="12">
        <v>411</v>
      </c>
      <c r="B636" s="13">
        <v>1</v>
      </c>
      <c r="C636" s="14">
        <v>400</v>
      </c>
      <c r="D636" s="15">
        <f>176.15421-6</f>
        <v>170.15421000000001</v>
      </c>
    </row>
    <row r="637" spans="1:4" x14ac:dyDescent="0.2">
      <c r="A637" s="12">
        <v>411</v>
      </c>
      <c r="B637" s="13">
        <v>2</v>
      </c>
      <c r="C637" s="14">
        <v>400</v>
      </c>
      <c r="D637" s="15">
        <f>117.136125-25.2</f>
        <v>91.936125000000004</v>
      </c>
    </row>
    <row r="638" spans="1:4" x14ac:dyDescent="0.2">
      <c r="A638" s="12">
        <v>412</v>
      </c>
      <c r="B638" s="13">
        <v>1</v>
      </c>
      <c r="C638" s="14">
        <v>400</v>
      </c>
      <c r="D638" s="15">
        <v>145.97955000000002</v>
      </c>
    </row>
    <row r="639" spans="1:4" x14ac:dyDescent="0.2">
      <c r="A639" s="12">
        <v>412</v>
      </c>
      <c r="B639" s="13">
        <v>2</v>
      </c>
      <c r="C639" s="14">
        <v>400</v>
      </c>
      <c r="D639" s="15">
        <v>151.23053250000001</v>
      </c>
    </row>
    <row r="640" spans="1:4" x14ac:dyDescent="0.2">
      <c r="A640" s="12">
        <v>413</v>
      </c>
      <c r="B640" s="13">
        <v>1</v>
      </c>
      <c r="C640" s="14">
        <v>400</v>
      </c>
      <c r="D640" s="15">
        <f>155.9638125-13.8</f>
        <v>142.16381249999998</v>
      </c>
    </row>
    <row r="641" spans="1:4" x14ac:dyDescent="0.2">
      <c r="A641" s="12">
        <v>413</v>
      </c>
      <c r="B641" s="13">
        <v>2</v>
      </c>
      <c r="C641" s="14">
        <v>400</v>
      </c>
      <c r="D641" s="15">
        <v>154.55861999999999</v>
      </c>
    </row>
    <row r="642" spans="1:4" x14ac:dyDescent="0.2">
      <c r="A642" s="12">
        <v>414</v>
      </c>
      <c r="B642" s="13">
        <v>1</v>
      </c>
      <c r="C642" s="14">
        <v>400</v>
      </c>
      <c r="D642" s="15">
        <f>193.35747-13.8-42-6.69-0.54-0.54-12-24</f>
        <v>93.787470000000013</v>
      </c>
    </row>
    <row r="643" spans="1:4" x14ac:dyDescent="0.2">
      <c r="A643" s="12">
        <v>415</v>
      </c>
      <c r="B643" s="13">
        <v>1</v>
      </c>
      <c r="C643" s="14">
        <v>250</v>
      </c>
      <c r="D643" s="15">
        <f>45.4734-9-5.4-0.06-6.3</f>
        <v>24.7134</v>
      </c>
    </row>
    <row r="644" spans="1:4" x14ac:dyDescent="0.2">
      <c r="A644" s="12">
        <v>416</v>
      </c>
      <c r="B644" s="13">
        <v>1</v>
      </c>
      <c r="C644" s="14">
        <v>400</v>
      </c>
      <c r="D644" s="15">
        <f>151.30449-12.9-31.2</f>
        <v>107.20448999999998</v>
      </c>
    </row>
    <row r="645" spans="1:4" x14ac:dyDescent="0.2">
      <c r="A645" s="12">
        <v>416</v>
      </c>
      <c r="B645" s="13">
        <v>2</v>
      </c>
      <c r="C645" s="14">
        <v>400</v>
      </c>
      <c r="D645" s="15">
        <v>135.32966999999999</v>
      </c>
    </row>
    <row r="646" spans="1:4" x14ac:dyDescent="0.2">
      <c r="A646" s="12">
        <v>417</v>
      </c>
      <c r="B646" s="13">
        <v>1</v>
      </c>
      <c r="C646" s="14">
        <v>320</v>
      </c>
      <c r="D646" s="15">
        <f>118.7804925-10.5-8.25</f>
        <v>100.03049249999999</v>
      </c>
    </row>
    <row r="647" spans="1:4" x14ac:dyDescent="0.2">
      <c r="A647" s="12">
        <v>417</v>
      </c>
      <c r="B647" s="13">
        <v>2</v>
      </c>
      <c r="C647" s="14">
        <v>250</v>
      </c>
      <c r="D647" s="15">
        <f>56.3662575-8.25</f>
        <v>48.116257500000003</v>
      </c>
    </row>
    <row r="648" spans="1:4" x14ac:dyDescent="0.2">
      <c r="A648" s="12">
        <v>418</v>
      </c>
      <c r="B648" s="13">
        <v>1</v>
      </c>
      <c r="C648" s="14">
        <v>180</v>
      </c>
      <c r="D648" s="15">
        <f>83.64333-9-9-0.6</f>
        <v>65.043330000000012</v>
      </c>
    </row>
    <row r="649" spans="1:4" x14ac:dyDescent="0.2">
      <c r="A649" s="12">
        <v>419</v>
      </c>
      <c r="B649" s="13">
        <v>1</v>
      </c>
      <c r="C649" s="14">
        <v>320</v>
      </c>
      <c r="D649" s="15">
        <f>88.9016625-9</f>
        <v>79.9016625</v>
      </c>
    </row>
    <row r="650" spans="1:4" x14ac:dyDescent="0.2">
      <c r="A650" s="12">
        <v>419</v>
      </c>
      <c r="B650" s="13">
        <v>2</v>
      </c>
      <c r="C650" s="14">
        <v>400</v>
      </c>
      <c r="D650" s="15">
        <f>154.26279-9</f>
        <v>145.26279</v>
      </c>
    </row>
    <row r="651" spans="1:4" x14ac:dyDescent="0.2">
      <c r="A651" s="12">
        <v>420</v>
      </c>
      <c r="B651" s="13">
        <v>1</v>
      </c>
      <c r="C651" s="14">
        <v>400</v>
      </c>
      <c r="D651" s="15">
        <f>152.03988-9-8.22-9-6-9-6-9-12</f>
        <v>83.819880000000012</v>
      </c>
    </row>
    <row r="652" spans="1:4" x14ac:dyDescent="0.2">
      <c r="A652" s="12">
        <v>421</v>
      </c>
      <c r="B652" s="13">
        <v>1</v>
      </c>
      <c r="C652" s="14">
        <v>320</v>
      </c>
      <c r="D652" s="15">
        <v>115.69893000000002</v>
      </c>
    </row>
    <row r="653" spans="1:4" x14ac:dyDescent="0.2">
      <c r="A653" s="12">
        <v>421</v>
      </c>
      <c r="B653" s="13">
        <v>2</v>
      </c>
      <c r="C653" s="14">
        <v>400</v>
      </c>
      <c r="D653" s="15">
        <f>157.61553-9</f>
        <v>148.61553000000001</v>
      </c>
    </row>
    <row r="654" spans="1:4" x14ac:dyDescent="0.2">
      <c r="A654" s="12">
        <v>422</v>
      </c>
      <c r="B654" s="13">
        <v>1</v>
      </c>
      <c r="C654" s="14">
        <v>400</v>
      </c>
      <c r="D654" s="15">
        <f>122.01732-24-9</f>
        <v>89.017319999999998</v>
      </c>
    </row>
    <row r="655" spans="1:4" x14ac:dyDescent="0.2">
      <c r="A655" s="12">
        <v>422</v>
      </c>
      <c r="B655" s="13">
        <v>2</v>
      </c>
      <c r="C655" s="14">
        <v>400</v>
      </c>
      <c r="D655" s="15">
        <f>172.70286-3</f>
        <v>169.70285999999999</v>
      </c>
    </row>
    <row r="656" spans="1:4" x14ac:dyDescent="0.2">
      <c r="A656" s="12">
        <v>423</v>
      </c>
      <c r="B656" s="13">
        <v>1</v>
      </c>
      <c r="C656" s="14">
        <v>630</v>
      </c>
      <c r="D656" s="15">
        <f>179-6.6-9</f>
        <v>163.4</v>
      </c>
    </row>
    <row r="657" spans="1:4" x14ac:dyDescent="0.2">
      <c r="A657" s="12">
        <v>423</v>
      </c>
      <c r="B657" s="13">
        <v>2</v>
      </c>
      <c r="C657" s="14">
        <v>630</v>
      </c>
      <c r="D657" s="15">
        <v>168</v>
      </c>
    </row>
    <row r="658" spans="1:4" x14ac:dyDescent="0.2">
      <c r="A658" s="18">
        <v>424</v>
      </c>
      <c r="B658" s="19">
        <v>1</v>
      </c>
      <c r="C658" s="20">
        <v>160</v>
      </c>
      <c r="D658" s="15">
        <v>70.520849999999996</v>
      </c>
    </row>
    <row r="659" spans="1:4" x14ac:dyDescent="0.2">
      <c r="A659" s="18">
        <v>424</v>
      </c>
      <c r="B659" s="19">
        <v>2</v>
      </c>
      <c r="C659" s="20">
        <v>160</v>
      </c>
      <c r="D659" s="15">
        <v>55.285604999999997</v>
      </c>
    </row>
    <row r="660" spans="1:4" x14ac:dyDescent="0.2">
      <c r="A660" s="12">
        <v>425</v>
      </c>
      <c r="B660" s="13">
        <v>1</v>
      </c>
      <c r="C660" s="14">
        <v>250</v>
      </c>
      <c r="D660" s="15">
        <f>79.39524-2.16-22.2-9</f>
        <v>46.035240000000002</v>
      </c>
    </row>
    <row r="661" spans="1:4" x14ac:dyDescent="0.2">
      <c r="A661" s="12">
        <v>426</v>
      </c>
      <c r="B661" s="13">
        <v>1</v>
      </c>
      <c r="C661" s="14">
        <v>400</v>
      </c>
      <c r="D661" s="15">
        <f>143.09924-6-9-3-1.8-3-6.3-5.7-1.2-6.3-2.4-1.8-1.8-6.3-1.2-1.2-1.8-1.8-18-6-4.2-9</f>
        <v>45.299240000000012</v>
      </c>
    </row>
    <row r="662" spans="1:4" x14ac:dyDescent="0.2">
      <c r="A662" s="12">
        <v>427</v>
      </c>
      <c r="B662" s="13">
        <v>1</v>
      </c>
      <c r="C662" s="14">
        <v>400</v>
      </c>
      <c r="D662" s="15">
        <f>168.46263-5.4</f>
        <v>163.06262999999998</v>
      </c>
    </row>
    <row r="663" spans="1:4" x14ac:dyDescent="0.2">
      <c r="A663" s="12">
        <v>427</v>
      </c>
      <c r="B663" s="13">
        <v>2</v>
      </c>
      <c r="C663" s="14">
        <v>400</v>
      </c>
      <c r="D663" s="15">
        <f>141.83793-9</f>
        <v>132.83793</v>
      </c>
    </row>
    <row r="664" spans="1:4" x14ac:dyDescent="0.2">
      <c r="A664" s="12">
        <v>428</v>
      </c>
      <c r="B664" s="13">
        <v>1</v>
      </c>
      <c r="C664" s="14">
        <v>250</v>
      </c>
      <c r="D664" s="15">
        <f>126.43221-14-22.2</f>
        <v>90.232209999999995</v>
      </c>
    </row>
    <row r="665" spans="1:4" x14ac:dyDescent="0.2">
      <c r="A665" s="12">
        <v>429</v>
      </c>
      <c r="B665" s="13">
        <v>1</v>
      </c>
      <c r="C665" s="14">
        <v>320</v>
      </c>
      <c r="D665" s="15">
        <f>155.843-42-1.2</f>
        <v>112.64299999999999</v>
      </c>
    </row>
    <row r="666" spans="1:4" x14ac:dyDescent="0.2">
      <c r="A666" s="12">
        <v>430</v>
      </c>
      <c r="B666" s="13">
        <v>1</v>
      </c>
      <c r="C666" s="14">
        <v>250</v>
      </c>
      <c r="D666" s="15">
        <v>110.29303999999999</v>
      </c>
    </row>
    <row r="667" spans="1:4" x14ac:dyDescent="0.2">
      <c r="A667" s="12">
        <v>431</v>
      </c>
      <c r="B667" s="13">
        <v>1</v>
      </c>
      <c r="C667" s="14">
        <v>180</v>
      </c>
      <c r="D667" s="15">
        <v>80.652159999999995</v>
      </c>
    </row>
    <row r="668" spans="1:4" x14ac:dyDescent="0.2">
      <c r="A668" s="12">
        <v>432</v>
      </c>
      <c r="B668" s="13">
        <v>1</v>
      </c>
      <c r="C668" s="14">
        <v>400</v>
      </c>
      <c r="D668" s="15">
        <v>126</v>
      </c>
    </row>
    <row r="669" spans="1:4" x14ac:dyDescent="0.2">
      <c r="A669" s="12">
        <v>432</v>
      </c>
      <c r="B669" s="13">
        <v>2</v>
      </c>
      <c r="C669" s="14">
        <v>400</v>
      </c>
      <c r="D669" s="15">
        <v>164.12379000000001</v>
      </c>
    </row>
    <row r="670" spans="1:4" x14ac:dyDescent="0.2">
      <c r="A670" s="12">
        <v>433</v>
      </c>
      <c r="B670" s="13">
        <v>1</v>
      </c>
      <c r="C670" s="14">
        <v>400</v>
      </c>
      <c r="D670" s="15">
        <f>65.26308-9-9-9-3.3</f>
        <v>34.963080000000005</v>
      </c>
    </row>
    <row r="671" spans="1:4" x14ac:dyDescent="0.2">
      <c r="A671" s="12">
        <v>434</v>
      </c>
      <c r="B671" s="13">
        <v>1</v>
      </c>
      <c r="C671" s="14">
        <v>250</v>
      </c>
      <c r="D671" s="15">
        <f>102.2199075-5.4-90</f>
        <v>6.8199074999999993</v>
      </c>
    </row>
    <row r="672" spans="1:4" x14ac:dyDescent="0.2">
      <c r="A672" s="12">
        <v>434</v>
      </c>
      <c r="B672" s="13">
        <v>2</v>
      </c>
      <c r="C672" s="14">
        <v>250</v>
      </c>
      <c r="D672" s="15">
        <v>85.061767500000002</v>
      </c>
    </row>
    <row r="673" spans="1:4" x14ac:dyDescent="0.2">
      <c r="A673" s="12">
        <v>435</v>
      </c>
      <c r="B673" s="13">
        <v>1</v>
      </c>
      <c r="C673" s="14">
        <v>250</v>
      </c>
      <c r="D673" s="15">
        <f>85.28364-18-10.5-7-0.42-0.42</f>
        <v>48.943640000000002</v>
      </c>
    </row>
    <row r="674" spans="1:4" x14ac:dyDescent="0.2">
      <c r="A674" s="12">
        <v>435</v>
      </c>
      <c r="B674" s="13">
        <v>2</v>
      </c>
      <c r="C674" s="14">
        <v>250</v>
      </c>
      <c r="D674" s="15">
        <f>85.431555-8.75</f>
        <v>76.681555000000003</v>
      </c>
    </row>
    <row r="675" spans="1:4" x14ac:dyDescent="0.2">
      <c r="A675" s="12">
        <v>436</v>
      </c>
      <c r="B675" s="13">
        <v>1</v>
      </c>
      <c r="C675" s="14">
        <v>250</v>
      </c>
      <c r="D675" s="15">
        <f>102.37137-9-7.35-6.3</f>
        <v>79.721370000000007</v>
      </c>
    </row>
    <row r="676" spans="1:4" x14ac:dyDescent="0.2">
      <c r="A676" s="12">
        <v>437</v>
      </c>
      <c r="B676" s="13">
        <v>1</v>
      </c>
      <c r="C676" s="14">
        <v>400</v>
      </c>
      <c r="D676" s="15">
        <f>131.8536675-6</f>
        <v>125.8536675</v>
      </c>
    </row>
    <row r="677" spans="1:4" x14ac:dyDescent="0.2">
      <c r="A677" s="12">
        <v>437</v>
      </c>
      <c r="B677" s="13">
        <v>2</v>
      </c>
      <c r="C677" s="14">
        <v>630</v>
      </c>
      <c r="D677" s="15">
        <v>254.36074499999998</v>
      </c>
    </row>
    <row r="678" spans="1:4" x14ac:dyDescent="0.2">
      <c r="A678" s="12">
        <v>438</v>
      </c>
      <c r="B678" s="13">
        <v>1</v>
      </c>
      <c r="C678" s="14">
        <v>250</v>
      </c>
      <c r="D678" s="15">
        <f>146.35143-9.59-10.5-10.5</f>
        <v>115.76142999999999</v>
      </c>
    </row>
    <row r="679" spans="1:4" x14ac:dyDescent="0.2">
      <c r="A679" s="12">
        <v>439</v>
      </c>
      <c r="B679" s="13">
        <v>1</v>
      </c>
      <c r="C679" s="14">
        <v>250</v>
      </c>
      <c r="D679" s="15">
        <f>86.00211-9-9-6-7.2</f>
        <v>54.802109999999999</v>
      </c>
    </row>
    <row r="680" spans="1:4" x14ac:dyDescent="0.2">
      <c r="A680" s="16">
        <v>440</v>
      </c>
      <c r="B680" s="13">
        <v>1</v>
      </c>
      <c r="C680" s="17">
        <v>250</v>
      </c>
      <c r="D680" s="15">
        <f>72.0452475-10.5-17.5</f>
        <v>44.045247500000002</v>
      </c>
    </row>
    <row r="681" spans="1:4" x14ac:dyDescent="0.2">
      <c r="A681" s="16">
        <v>440</v>
      </c>
      <c r="B681" s="13">
        <v>2</v>
      </c>
      <c r="C681" s="17">
        <v>250</v>
      </c>
      <c r="D681" s="15">
        <f>95.2679025-7-1.4</f>
        <v>86.8679025</v>
      </c>
    </row>
    <row r="682" spans="1:4" x14ac:dyDescent="0.2">
      <c r="A682" s="12">
        <v>441</v>
      </c>
      <c r="B682" s="13">
        <v>1</v>
      </c>
      <c r="C682" s="14">
        <v>250</v>
      </c>
      <c r="D682" s="15">
        <f>99.31446-15.6-8.4</f>
        <v>75.314459999999997</v>
      </c>
    </row>
    <row r="683" spans="1:4" x14ac:dyDescent="0.2">
      <c r="A683" s="12">
        <v>442</v>
      </c>
      <c r="B683" s="13">
        <v>1</v>
      </c>
      <c r="C683" s="14">
        <v>400</v>
      </c>
      <c r="D683" s="15">
        <f>210.71283-4.9-0.07-10.5</f>
        <v>195.24283</v>
      </c>
    </row>
    <row r="684" spans="1:4" x14ac:dyDescent="0.2">
      <c r="A684" s="12">
        <v>443</v>
      </c>
      <c r="B684" s="13">
        <v>1</v>
      </c>
      <c r="C684" s="14">
        <v>400</v>
      </c>
      <c r="D684" s="15">
        <f>173-10.5-94.5-10.5-7-10.5-10.5-5.6-8.4-10.5</f>
        <v>4.9999999999999982</v>
      </c>
    </row>
    <row r="685" spans="1:4" x14ac:dyDescent="0.2">
      <c r="A685" s="12">
        <v>444</v>
      </c>
      <c r="B685" s="13">
        <v>1</v>
      </c>
      <c r="C685" s="14">
        <v>400</v>
      </c>
      <c r="D685" s="15">
        <v>153.74508750000001</v>
      </c>
    </row>
    <row r="686" spans="1:4" x14ac:dyDescent="0.2">
      <c r="A686" s="12">
        <v>444</v>
      </c>
      <c r="B686" s="13">
        <v>2</v>
      </c>
      <c r="C686" s="14">
        <v>400</v>
      </c>
      <c r="D686" s="15">
        <f>164.02518-10.5-30.1</f>
        <v>123.42518000000001</v>
      </c>
    </row>
    <row r="687" spans="1:4" x14ac:dyDescent="0.2">
      <c r="A687" s="12">
        <v>445</v>
      </c>
      <c r="B687" s="13">
        <v>1</v>
      </c>
      <c r="C687" s="14">
        <v>400</v>
      </c>
      <c r="D687" s="15">
        <f>134.29008-9.59-10.5-10.5-7-10.5-7-10.5-10.5-10.5-7-10.5-28</f>
        <v>2.2000799999999856</v>
      </c>
    </row>
    <row r="688" spans="1:4" x14ac:dyDescent="0.2">
      <c r="A688" s="12">
        <v>446</v>
      </c>
      <c r="B688" s="13">
        <v>1</v>
      </c>
      <c r="C688" s="14">
        <v>400</v>
      </c>
      <c r="D688" s="15">
        <v>150.26489999999998</v>
      </c>
    </row>
    <row r="689" spans="1:4" x14ac:dyDescent="0.2">
      <c r="A689" s="12">
        <v>447</v>
      </c>
      <c r="B689" s="13">
        <v>1</v>
      </c>
      <c r="C689" s="14">
        <v>400</v>
      </c>
      <c r="D689" s="15">
        <f>165.15501-8.4-8.4-21-10.5-10.5-10.5-7.35-28-10.5-1.19-14-7-7-7</f>
        <v>13.815010000000001</v>
      </c>
    </row>
    <row r="690" spans="1:4" x14ac:dyDescent="0.2">
      <c r="A690" s="12">
        <v>448</v>
      </c>
      <c r="B690" s="13">
        <v>1</v>
      </c>
      <c r="C690" s="14">
        <v>250</v>
      </c>
      <c r="D690" s="15">
        <v>89.277345000000011</v>
      </c>
    </row>
    <row r="691" spans="1:4" x14ac:dyDescent="0.2">
      <c r="A691" s="12">
        <v>448</v>
      </c>
      <c r="B691" s="13">
        <v>2</v>
      </c>
      <c r="C691" s="14">
        <v>400</v>
      </c>
      <c r="D691" s="15">
        <f>168.1668-10.5-100.1</f>
        <v>57.566800000000001</v>
      </c>
    </row>
    <row r="692" spans="1:4" x14ac:dyDescent="0.2">
      <c r="A692" s="12">
        <v>449</v>
      </c>
      <c r="B692" s="13">
        <v>1</v>
      </c>
      <c r="C692" s="14">
        <v>400</v>
      </c>
      <c r="D692" s="15">
        <f>131.040135-27.6-9</f>
        <v>94.440134999999998</v>
      </c>
    </row>
    <row r="693" spans="1:4" x14ac:dyDescent="0.2">
      <c r="A693" s="12">
        <v>449</v>
      </c>
      <c r="B693" s="13">
        <v>2</v>
      </c>
      <c r="C693" s="14">
        <v>400</v>
      </c>
      <c r="D693" s="15">
        <f>147.606615-3-6-9</f>
        <v>129.60661500000001</v>
      </c>
    </row>
    <row r="694" spans="1:4" x14ac:dyDescent="0.2">
      <c r="A694" s="12">
        <v>450</v>
      </c>
      <c r="B694" s="13">
        <v>1</v>
      </c>
      <c r="C694" s="14">
        <v>630</v>
      </c>
      <c r="D694" s="15">
        <f>264.49989-27.5</f>
        <v>236.99988999999999</v>
      </c>
    </row>
    <row r="695" spans="1:4" x14ac:dyDescent="0.2">
      <c r="A695" s="16">
        <v>451</v>
      </c>
      <c r="B695" s="13">
        <v>1</v>
      </c>
      <c r="C695" s="17">
        <v>400</v>
      </c>
      <c r="D695" s="15">
        <f>174.527145-3.5</f>
        <v>171.02714499999999</v>
      </c>
    </row>
    <row r="696" spans="1:4" x14ac:dyDescent="0.2">
      <c r="A696" s="16">
        <v>451</v>
      </c>
      <c r="B696" s="13">
        <v>2</v>
      </c>
      <c r="C696" s="17">
        <v>400</v>
      </c>
      <c r="D696" s="15">
        <v>155.52006750000001</v>
      </c>
    </row>
    <row r="697" spans="1:4" x14ac:dyDescent="0.2">
      <c r="A697" s="16">
        <v>452</v>
      </c>
      <c r="B697" s="13">
        <v>1</v>
      </c>
      <c r="C697" s="17">
        <v>400</v>
      </c>
      <c r="D697" s="15">
        <v>132</v>
      </c>
    </row>
    <row r="698" spans="1:4" x14ac:dyDescent="0.2">
      <c r="A698" s="16">
        <v>452</v>
      </c>
      <c r="B698" s="13">
        <v>2</v>
      </c>
      <c r="C698" s="17">
        <v>400</v>
      </c>
      <c r="D698" s="15">
        <f>135-10.5-10.5</f>
        <v>114</v>
      </c>
    </row>
    <row r="699" spans="1:4" x14ac:dyDescent="0.2">
      <c r="A699" s="12">
        <v>453</v>
      </c>
      <c r="B699" s="13">
        <v>1</v>
      </c>
      <c r="C699" s="14">
        <v>630</v>
      </c>
      <c r="D699" s="15">
        <f>176.60676-46.8-59.4-7.5-3.6</f>
        <v>59.30675999999999</v>
      </c>
    </row>
    <row r="700" spans="1:4" x14ac:dyDescent="0.2">
      <c r="A700" s="12">
        <v>453</v>
      </c>
      <c r="B700" s="13">
        <v>2</v>
      </c>
      <c r="C700" s="14">
        <v>630</v>
      </c>
      <c r="D700" s="15">
        <f>197.21625-6-3-46.8-9-6.6</f>
        <v>125.81625</v>
      </c>
    </row>
    <row r="701" spans="1:4" x14ac:dyDescent="0.2">
      <c r="A701" s="12">
        <v>454</v>
      </c>
      <c r="B701" s="13">
        <v>1</v>
      </c>
      <c r="C701" s="14">
        <v>400</v>
      </c>
      <c r="D701" s="15">
        <f>144.944145-27.5-1.38-3.03</f>
        <v>113.034145</v>
      </c>
    </row>
    <row r="702" spans="1:4" x14ac:dyDescent="0.2">
      <c r="A702" s="12">
        <v>454</v>
      </c>
      <c r="B702" s="13">
        <v>2</v>
      </c>
      <c r="C702" s="14">
        <v>400</v>
      </c>
      <c r="D702" s="15">
        <f>162.0283275-44</f>
        <v>118.02832749999999</v>
      </c>
    </row>
    <row r="703" spans="1:4" x14ac:dyDescent="0.2">
      <c r="A703" s="12">
        <v>455</v>
      </c>
      <c r="B703" s="13">
        <v>1</v>
      </c>
      <c r="C703" s="14">
        <v>250</v>
      </c>
      <c r="D703" s="15">
        <f>77.5181025-9</f>
        <v>68.518102499999998</v>
      </c>
    </row>
    <row r="704" spans="1:4" x14ac:dyDescent="0.2">
      <c r="A704" s="12">
        <v>455</v>
      </c>
      <c r="B704" s="13">
        <v>2</v>
      </c>
      <c r="C704" s="14">
        <v>250</v>
      </c>
      <c r="D704" s="15">
        <v>80.180572500000011</v>
      </c>
    </row>
    <row r="705" spans="1:4" x14ac:dyDescent="0.2">
      <c r="A705" s="12">
        <v>456</v>
      </c>
      <c r="B705" s="13">
        <v>1</v>
      </c>
      <c r="C705" s="14">
        <v>400</v>
      </c>
      <c r="D705" s="15">
        <f>132.223455-4.69-6.3-6.3-14.4</f>
        <v>100.533455</v>
      </c>
    </row>
    <row r="706" spans="1:4" x14ac:dyDescent="0.2">
      <c r="A706" s="12">
        <v>456</v>
      </c>
      <c r="B706" s="13">
        <v>2</v>
      </c>
      <c r="C706" s="14">
        <v>400</v>
      </c>
      <c r="D706" s="15">
        <f>135.1077975-6.3-6.3-3.5</f>
        <v>119.0077975</v>
      </c>
    </row>
    <row r="707" spans="1:4" x14ac:dyDescent="0.2">
      <c r="A707" s="12">
        <v>457</v>
      </c>
      <c r="B707" s="13">
        <v>1</v>
      </c>
      <c r="C707" s="14">
        <v>400</v>
      </c>
      <c r="D707" s="15">
        <f>187.44087-9-8.22-56.22-3-9-6-21-0.6</f>
        <v>74.400869999999998</v>
      </c>
    </row>
    <row r="708" spans="1:4" x14ac:dyDescent="0.2">
      <c r="A708" s="12">
        <v>458</v>
      </c>
      <c r="B708" s="13">
        <v>1</v>
      </c>
      <c r="C708" s="14">
        <v>400</v>
      </c>
      <c r="D708" s="15">
        <f>131.335965-0.11-6</f>
        <v>125.22596499999997</v>
      </c>
    </row>
    <row r="709" spans="1:4" x14ac:dyDescent="0.2">
      <c r="A709" s="12">
        <v>458</v>
      </c>
      <c r="B709" s="13">
        <v>2</v>
      </c>
      <c r="C709" s="14">
        <v>250</v>
      </c>
      <c r="D709" s="15">
        <f>112.5-0.11</f>
        <v>112.39</v>
      </c>
    </row>
    <row r="710" spans="1:4" x14ac:dyDescent="0.2">
      <c r="A710" s="12">
        <v>459</v>
      </c>
      <c r="B710" s="13">
        <v>1</v>
      </c>
      <c r="C710" s="14">
        <v>400</v>
      </c>
      <c r="D710" s="15">
        <f>180-3.6-70.5-6.3-1.2</f>
        <v>98.4</v>
      </c>
    </row>
    <row r="711" spans="1:4" x14ac:dyDescent="0.2">
      <c r="A711" s="12">
        <v>459</v>
      </c>
      <c r="B711" s="13">
        <v>2</v>
      </c>
      <c r="C711" s="14">
        <v>400</v>
      </c>
      <c r="D711" s="15">
        <f>180-70.5</f>
        <v>109.5</v>
      </c>
    </row>
    <row r="712" spans="1:4" x14ac:dyDescent="0.2">
      <c r="A712" s="12">
        <v>460</v>
      </c>
      <c r="B712" s="13">
        <v>1</v>
      </c>
      <c r="C712" s="14">
        <v>400</v>
      </c>
      <c r="D712" s="15">
        <f>151.6742775-9.6-6</f>
        <v>136.07427749999999</v>
      </c>
    </row>
    <row r="713" spans="1:4" x14ac:dyDescent="0.2">
      <c r="A713" s="12">
        <v>460</v>
      </c>
      <c r="B713" s="13">
        <v>2</v>
      </c>
      <c r="C713" s="14">
        <v>400</v>
      </c>
      <c r="D713" s="15">
        <v>154.55861999999999</v>
      </c>
    </row>
    <row r="714" spans="1:4" x14ac:dyDescent="0.2">
      <c r="A714" s="12">
        <v>461</v>
      </c>
      <c r="B714" s="13">
        <v>1</v>
      </c>
      <c r="C714" s="14">
        <v>630</v>
      </c>
      <c r="D714" s="15">
        <f>207.5703-21</f>
        <v>186.5703</v>
      </c>
    </row>
    <row r="715" spans="1:4" x14ac:dyDescent="0.2">
      <c r="A715" s="12">
        <v>461</v>
      </c>
      <c r="B715" s="13">
        <v>2</v>
      </c>
      <c r="C715" s="14">
        <v>630</v>
      </c>
      <c r="D715" s="15">
        <f>202.04814-0.18-9.3-9-12</f>
        <v>171.56813999999997</v>
      </c>
    </row>
    <row r="716" spans="1:4" x14ac:dyDescent="0.2">
      <c r="A716" s="12">
        <v>462</v>
      </c>
      <c r="B716" s="13">
        <v>1</v>
      </c>
      <c r="C716" s="14">
        <v>250</v>
      </c>
      <c r="D716" s="15">
        <f>97.41267-10.5</f>
        <v>86.912670000000006</v>
      </c>
    </row>
    <row r="717" spans="1:4" x14ac:dyDescent="0.2">
      <c r="A717" s="12">
        <v>462</v>
      </c>
      <c r="B717" s="13">
        <v>2</v>
      </c>
      <c r="C717" s="14">
        <v>50</v>
      </c>
      <c r="D717" s="14" t="s">
        <v>6</v>
      </c>
    </row>
    <row r="718" spans="1:4" x14ac:dyDescent="0.2">
      <c r="A718" s="12">
        <v>463</v>
      </c>
      <c r="B718" s="13">
        <v>1</v>
      </c>
      <c r="C718" s="14">
        <v>250</v>
      </c>
      <c r="D718" s="15">
        <v>0</v>
      </c>
    </row>
    <row r="719" spans="1:4" x14ac:dyDescent="0.2">
      <c r="A719" s="12">
        <v>463</v>
      </c>
      <c r="B719" s="13">
        <v>2</v>
      </c>
      <c r="C719" s="14">
        <v>250</v>
      </c>
      <c r="D719" s="15">
        <f>80.6243175-9-3.6</f>
        <v>68.024317500000009</v>
      </c>
    </row>
    <row r="720" spans="1:4" x14ac:dyDescent="0.2">
      <c r="A720" s="26">
        <v>464</v>
      </c>
      <c r="B720" s="13">
        <v>1</v>
      </c>
      <c r="C720" s="17">
        <v>400</v>
      </c>
      <c r="D720" s="15">
        <v>0</v>
      </c>
    </row>
    <row r="721" spans="1:4" x14ac:dyDescent="0.2">
      <c r="A721" s="16">
        <v>464</v>
      </c>
      <c r="B721" s="13">
        <v>2</v>
      </c>
      <c r="C721" s="17">
        <v>630</v>
      </c>
      <c r="D721" s="15">
        <f>250.7368275-14-7-21-49-8.4-10.5-21-7-10.5-10.5-10.5-21-10.5-21-7</f>
        <v>21.836827499999998</v>
      </c>
    </row>
    <row r="722" spans="1:4" x14ac:dyDescent="0.2">
      <c r="A722" s="12">
        <v>465</v>
      </c>
      <c r="B722" s="13">
        <v>1</v>
      </c>
      <c r="C722" s="14">
        <v>630</v>
      </c>
      <c r="D722" s="15">
        <f>226.6266825</f>
        <v>226.62668249999999</v>
      </c>
    </row>
    <row r="723" spans="1:4" x14ac:dyDescent="0.2">
      <c r="A723" s="12">
        <v>465</v>
      </c>
      <c r="B723" s="13">
        <v>2</v>
      </c>
      <c r="C723" s="14">
        <v>630</v>
      </c>
      <c r="D723" s="15">
        <f>244.15461-8.25-8.25-8.25</f>
        <v>219.40460999999999</v>
      </c>
    </row>
    <row r="724" spans="1:4" x14ac:dyDescent="0.2">
      <c r="A724" s="16">
        <v>466</v>
      </c>
      <c r="B724" s="13">
        <v>1</v>
      </c>
      <c r="C724" s="17">
        <v>400</v>
      </c>
      <c r="D724" s="15">
        <f>123.8662575-6.3</f>
        <v>117.56625750000001</v>
      </c>
    </row>
    <row r="725" spans="1:4" x14ac:dyDescent="0.2">
      <c r="A725" s="16">
        <v>466</v>
      </c>
      <c r="B725" s="13">
        <v>2</v>
      </c>
      <c r="C725" s="17">
        <v>315</v>
      </c>
      <c r="D725" s="15">
        <f>79.773615-10.5</f>
        <v>69.273615000000007</v>
      </c>
    </row>
    <row r="726" spans="1:4" x14ac:dyDescent="0.2">
      <c r="A726" s="12">
        <v>467</v>
      </c>
      <c r="B726" s="13">
        <v>1</v>
      </c>
      <c r="C726" s="14">
        <v>250</v>
      </c>
      <c r="D726" s="15">
        <v>80.476402500000006</v>
      </c>
    </row>
    <row r="727" spans="1:4" x14ac:dyDescent="0.2">
      <c r="A727" s="12">
        <v>467</v>
      </c>
      <c r="B727" s="13">
        <v>2</v>
      </c>
      <c r="C727" s="14">
        <v>400</v>
      </c>
      <c r="D727" s="15">
        <f>160.47522-5.4-3.5</f>
        <v>151.57522</v>
      </c>
    </row>
    <row r="728" spans="1:4" x14ac:dyDescent="0.2">
      <c r="A728" s="12">
        <v>468</v>
      </c>
      <c r="B728" s="13">
        <v>1</v>
      </c>
      <c r="C728" s="14">
        <v>250</v>
      </c>
      <c r="D728" s="15">
        <f>123-8.4-10.5-5.6-9.1-15-5.6-10.5-12.6</f>
        <v>45.70000000000001</v>
      </c>
    </row>
    <row r="729" spans="1:4" x14ac:dyDescent="0.2">
      <c r="A729" s="12">
        <v>469</v>
      </c>
      <c r="B729" s="13">
        <v>1</v>
      </c>
      <c r="C729" s="14">
        <v>400</v>
      </c>
      <c r="D729" s="15">
        <v>188</v>
      </c>
    </row>
    <row r="730" spans="1:4" x14ac:dyDescent="0.2">
      <c r="A730" s="12">
        <v>470</v>
      </c>
      <c r="B730" s="13">
        <v>1</v>
      </c>
      <c r="C730" s="14">
        <v>320</v>
      </c>
      <c r="D730" s="15">
        <f>139.44087-9-8.22-9-58.2</f>
        <v>55.020869999999988</v>
      </c>
    </row>
    <row r="731" spans="1:4" x14ac:dyDescent="0.2">
      <c r="A731" s="12">
        <v>471</v>
      </c>
      <c r="B731" s="13">
        <v>1</v>
      </c>
      <c r="C731" s="14">
        <v>400</v>
      </c>
      <c r="D731" s="15">
        <f>135.477585-1.65-8.25-4.13</f>
        <v>121.447585</v>
      </c>
    </row>
    <row r="732" spans="1:4" x14ac:dyDescent="0.2">
      <c r="A732" s="12">
        <v>471</v>
      </c>
      <c r="B732" s="13">
        <v>2</v>
      </c>
      <c r="C732" s="14">
        <v>400</v>
      </c>
      <c r="D732" s="15">
        <v>106.26437249999999</v>
      </c>
    </row>
    <row r="733" spans="1:4" x14ac:dyDescent="0.2">
      <c r="A733" s="12">
        <v>471</v>
      </c>
      <c r="B733" s="13">
        <v>3</v>
      </c>
      <c r="C733" s="14">
        <v>400</v>
      </c>
      <c r="D733" s="15">
        <f>149.973255-3.85</f>
        <v>146.123255</v>
      </c>
    </row>
    <row r="734" spans="1:4" x14ac:dyDescent="0.2">
      <c r="A734" s="12">
        <v>471</v>
      </c>
      <c r="B734" s="13">
        <v>4</v>
      </c>
      <c r="C734" s="14">
        <v>400</v>
      </c>
      <c r="D734" s="15">
        <v>157.73879249999999</v>
      </c>
    </row>
    <row r="735" spans="1:4" x14ac:dyDescent="0.2">
      <c r="A735" s="12">
        <v>472</v>
      </c>
      <c r="B735" s="13">
        <v>1</v>
      </c>
      <c r="C735" s="14">
        <v>250</v>
      </c>
      <c r="D735" s="14">
        <v>58</v>
      </c>
    </row>
    <row r="736" spans="1:4" x14ac:dyDescent="0.2">
      <c r="A736" s="12">
        <v>472</v>
      </c>
      <c r="B736" s="13">
        <v>2</v>
      </c>
      <c r="C736" s="14">
        <v>160</v>
      </c>
      <c r="D736" s="15" t="s">
        <v>6</v>
      </c>
    </row>
    <row r="737" spans="1:4" x14ac:dyDescent="0.2">
      <c r="A737" s="12">
        <v>473</v>
      </c>
      <c r="B737" s="13">
        <v>1</v>
      </c>
      <c r="C737" s="14">
        <v>250</v>
      </c>
      <c r="D737" s="15">
        <f>96.7224-27.5-16.5</f>
        <v>52.722399999999993</v>
      </c>
    </row>
    <row r="738" spans="1:4" x14ac:dyDescent="0.2">
      <c r="A738" s="12">
        <v>473</v>
      </c>
      <c r="B738" s="13">
        <v>2</v>
      </c>
      <c r="C738" s="14">
        <v>250</v>
      </c>
      <c r="D738" s="15">
        <f>102.44178-9</f>
        <v>93.441779999999994</v>
      </c>
    </row>
    <row r="739" spans="1:4" x14ac:dyDescent="0.2">
      <c r="A739" s="12">
        <v>474</v>
      </c>
      <c r="B739" s="13">
        <v>1</v>
      </c>
      <c r="C739" s="14">
        <v>400</v>
      </c>
      <c r="D739" s="15">
        <f>153.35468-9-8.22-9-9-58.2</f>
        <v>59.93468</v>
      </c>
    </row>
    <row r="740" spans="1:4" x14ac:dyDescent="0.2">
      <c r="A740" s="12">
        <v>475</v>
      </c>
      <c r="B740" s="13">
        <v>1</v>
      </c>
      <c r="C740" s="14">
        <v>250</v>
      </c>
      <c r="D740" s="15">
        <f>82.1034675-10-7</f>
        <v>65.103467499999994</v>
      </c>
    </row>
    <row r="741" spans="1:4" x14ac:dyDescent="0.2">
      <c r="A741" s="12">
        <v>475</v>
      </c>
      <c r="B741" s="13">
        <v>2</v>
      </c>
      <c r="C741" s="14">
        <v>250</v>
      </c>
      <c r="D741" s="15">
        <f>88.8336-5.6-10.5</f>
        <v>72.73360000000001</v>
      </c>
    </row>
    <row r="742" spans="1:4" x14ac:dyDescent="0.2">
      <c r="A742" s="12">
        <v>476</v>
      </c>
      <c r="B742" s="13">
        <v>1</v>
      </c>
      <c r="C742" s="14">
        <v>250</v>
      </c>
      <c r="D742" s="15">
        <f>75.5952075-18.9</f>
        <v>56.695207500000002</v>
      </c>
    </row>
    <row r="743" spans="1:4" x14ac:dyDescent="0.2">
      <c r="A743" s="12">
        <v>476</v>
      </c>
      <c r="B743" s="13">
        <v>2</v>
      </c>
      <c r="C743" s="14">
        <v>250</v>
      </c>
      <c r="D743" s="15">
        <f>99.18765-18.2</f>
        <v>80.987650000000002</v>
      </c>
    </row>
    <row r="744" spans="1:4" x14ac:dyDescent="0.2">
      <c r="A744" s="16">
        <v>477</v>
      </c>
      <c r="B744" s="13">
        <v>1</v>
      </c>
      <c r="C744" s="17">
        <v>400</v>
      </c>
      <c r="D744" s="15">
        <f>162.54603-10.5</f>
        <v>152.04603</v>
      </c>
    </row>
    <row r="745" spans="1:4" x14ac:dyDescent="0.2">
      <c r="A745" s="16">
        <v>477</v>
      </c>
      <c r="B745" s="13">
        <v>2</v>
      </c>
      <c r="C745" s="17">
        <v>400</v>
      </c>
      <c r="D745" s="15">
        <v>180</v>
      </c>
    </row>
    <row r="746" spans="1:4" x14ac:dyDescent="0.2">
      <c r="A746" s="12">
        <v>478</v>
      </c>
      <c r="B746" s="13">
        <v>1</v>
      </c>
      <c r="C746" s="14">
        <v>250</v>
      </c>
      <c r="D746" s="15">
        <f>108.09075-8.25-7.25-4.4-8.25</f>
        <v>79.940749999999994</v>
      </c>
    </row>
    <row r="747" spans="1:4" x14ac:dyDescent="0.2">
      <c r="A747" s="12">
        <v>479</v>
      </c>
      <c r="B747" s="13">
        <v>1</v>
      </c>
      <c r="C747" s="14">
        <v>400</v>
      </c>
      <c r="D747" s="15">
        <f>151.748235-10.5</f>
        <v>141.24823499999999</v>
      </c>
    </row>
    <row r="748" spans="1:4" x14ac:dyDescent="0.2">
      <c r="A748" s="12">
        <v>479</v>
      </c>
      <c r="B748" s="13">
        <v>2</v>
      </c>
      <c r="C748" s="14">
        <v>400</v>
      </c>
      <c r="D748" s="15">
        <v>152.33989500000001</v>
      </c>
    </row>
    <row r="749" spans="1:4" x14ac:dyDescent="0.2">
      <c r="A749" s="12">
        <v>480</v>
      </c>
      <c r="B749" s="13">
        <v>1</v>
      </c>
      <c r="C749" s="14">
        <v>400</v>
      </c>
      <c r="D749" s="15">
        <f>146.81355-0.12-51-9-9-10.5-6</f>
        <v>61.193549999999988</v>
      </c>
    </row>
    <row r="750" spans="1:4" x14ac:dyDescent="0.2">
      <c r="A750" s="12">
        <v>481</v>
      </c>
      <c r="B750" s="13">
        <v>1</v>
      </c>
      <c r="C750" s="14">
        <v>400</v>
      </c>
      <c r="D750" s="15">
        <f>156.9992175-2.75-8.25-8.7-8.25-8.25-8.25-8.25</f>
        <v>104.2992175</v>
      </c>
    </row>
    <row r="751" spans="1:4" x14ac:dyDescent="0.2">
      <c r="A751" s="12">
        <v>481</v>
      </c>
      <c r="B751" s="13">
        <v>2</v>
      </c>
      <c r="C751" s="14">
        <v>400</v>
      </c>
      <c r="D751" s="15">
        <f>163.72935-8.25-8.25-8.25-8.7-6</f>
        <v>124.27935000000002</v>
      </c>
    </row>
    <row r="752" spans="1:4" x14ac:dyDescent="0.2">
      <c r="A752" s="12">
        <v>482</v>
      </c>
      <c r="B752" s="13">
        <v>1</v>
      </c>
      <c r="C752" s="14">
        <v>250</v>
      </c>
      <c r="D752" s="15">
        <v>92.087729999999993</v>
      </c>
    </row>
    <row r="753" spans="1:4" x14ac:dyDescent="0.2">
      <c r="A753" s="12">
        <v>482</v>
      </c>
      <c r="B753" s="13">
        <v>2</v>
      </c>
      <c r="C753" s="14">
        <v>250</v>
      </c>
      <c r="D753" s="15">
        <v>88.463812500000003</v>
      </c>
    </row>
    <row r="754" spans="1:4" x14ac:dyDescent="0.2">
      <c r="A754" s="12">
        <v>483</v>
      </c>
      <c r="B754" s="13">
        <v>1</v>
      </c>
      <c r="C754" s="14">
        <v>250</v>
      </c>
      <c r="D754" s="15">
        <v>93.492922499999992</v>
      </c>
    </row>
    <row r="755" spans="1:4" x14ac:dyDescent="0.2">
      <c r="A755" s="12">
        <v>483</v>
      </c>
      <c r="B755" s="13">
        <v>2</v>
      </c>
      <c r="C755" s="14">
        <v>250</v>
      </c>
      <c r="D755" s="15">
        <v>90.608580000000003</v>
      </c>
    </row>
    <row r="756" spans="1:4" x14ac:dyDescent="0.2">
      <c r="A756" s="12">
        <v>484</v>
      </c>
      <c r="B756" s="13">
        <v>1</v>
      </c>
      <c r="C756" s="14">
        <v>400</v>
      </c>
      <c r="D756" s="15">
        <v>155.66798250000002</v>
      </c>
    </row>
    <row r="757" spans="1:4" x14ac:dyDescent="0.2">
      <c r="A757" s="12">
        <v>484</v>
      </c>
      <c r="B757" s="13">
        <v>2</v>
      </c>
      <c r="C757" s="14">
        <v>400</v>
      </c>
      <c r="D757" s="15">
        <f>143.31708-10.5</f>
        <v>132.81708</v>
      </c>
    </row>
    <row r="758" spans="1:4" x14ac:dyDescent="0.2">
      <c r="A758" s="12">
        <v>485</v>
      </c>
      <c r="B758" s="13">
        <v>1</v>
      </c>
      <c r="C758" s="14">
        <v>320</v>
      </c>
      <c r="D758" s="15">
        <f>127.2116475-5.5</f>
        <v>121.7116475</v>
      </c>
    </row>
    <row r="759" spans="1:4" x14ac:dyDescent="0.2">
      <c r="A759" s="12">
        <v>485</v>
      </c>
      <c r="B759" s="13">
        <v>2</v>
      </c>
      <c r="C759" s="14">
        <v>400</v>
      </c>
      <c r="D759" s="15">
        <v>145.16601749999998</v>
      </c>
    </row>
    <row r="760" spans="1:4" x14ac:dyDescent="0.2">
      <c r="A760" s="12">
        <v>486</v>
      </c>
      <c r="B760" s="13">
        <v>1</v>
      </c>
      <c r="C760" s="14">
        <v>400</v>
      </c>
      <c r="D760" s="15">
        <f>126.20406-7.7-10.5-7-10.5-0.27-11.9-21-21-7.35</f>
        <v>28.984059999999992</v>
      </c>
    </row>
    <row r="761" spans="1:4" x14ac:dyDescent="0.2">
      <c r="A761" s="12">
        <v>487</v>
      </c>
      <c r="B761" s="13">
        <v>1</v>
      </c>
      <c r="C761" s="14">
        <v>400</v>
      </c>
      <c r="D761" s="15">
        <f>138.82614-10.5-2.1-2.1-7-14.7</f>
        <v>102.42614000000002</v>
      </c>
    </row>
    <row r="762" spans="1:4" x14ac:dyDescent="0.2">
      <c r="A762" s="12">
        <v>488</v>
      </c>
      <c r="B762" s="13">
        <v>1</v>
      </c>
      <c r="C762" s="14">
        <v>630</v>
      </c>
      <c r="D762" s="15">
        <f>226.40481-30</f>
        <v>196.40481</v>
      </c>
    </row>
    <row r="763" spans="1:4" x14ac:dyDescent="0.2">
      <c r="A763" s="12">
        <v>488</v>
      </c>
      <c r="B763" s="13">
        <v>2</v>
      </c>
      <c r="C763" s="14">
        <v>630</v>
      </c>
      <c r="D763" s="15">
        <f>177.59286-9-30-33</f>
        <v>105.59286</v>
      </c>
    </row>
    <row r="764" spans="1:4" x14ac:dyDescent="0.2">
      <c r="A764" s="12">
        <v>489</v>
      </c>
      <c r="B764" s="13">
        <v>1</v>
      </c>
      <c r="C764" s="14">
        <v>630</v>
      </c>
      <c r="D764" s="15">
        <f>203.4040275-33-0.55-5.5-110-8.25-8.25-13.48-5.78</f>
        <v>18.594027499999999</v>
      </c>
    </row>
    <row r="765" spans="1:4" x14ac:dyDescent="0.2">
      <c r="A765" s="12">
        <v>489</v>
      </c>
      <c r="B765" s="13">
        <v>2</v>
      </c>
      <c r="C765" s="14">
        <v>630</v>
      </c>
      <c r="D765" s="15">
        <f>213-13.48</f>
        <v>199.52</v>
      </c>
    </row>
    <row r="766" spans="1:4" x14ac:dyDescent="0.2">
      <c r="A766" s="12">
        <v>490</v>
      </c>
      <c r="B766" s="13">
        <v>1</v>
      </c>
      <c r="C766" s="14">
        <v>400</v>
      </c>
      <c r="D766" s="15">
        <f>174.52296-10.5-10.5-10.5-3.15-10.5-8.4</f>
        <v>120.97296</v>
      </c>
    </row>
    <row r="767" spans="1:4" x14ac:dyDescent="0.2">
      <c r="A767" s="12">
        <v>491</v>
      </c>
      <c r="B767" s="13">
        <v>1</v>
      </c>
      <c r="C767" s="14">
        <v>400</v>
      </c>
      <c r="D767" s="15">
        <v>140.89695</v>
      </c>
    </row>
    <row r="768" spans="1:4" x14ac:dyDescent="0.2">
      <c r="A768" s="12">
        <v>492</v>
      </c>
      <c r="B768" s="13">
        <v>1</v>
      </c>
      <c r="C768" s="14">
        <v>400</v>
      </c>
      <c r="D768" s="15">
        <f>123.14715-8.25-5.5-1.65-19.25-8.25</f>
        <v>80.247149999999991</v>
      </c>
    </row>
    <row r="769" spans="1:4" x14ac:dyDescent="0.2">
      <c r="A769" s="12">
        <v>493</v>
      </c>
      <c r="B769" s="13">
        <v>1</v>
      </c>
      <c r="C769" s="14">
        <v>400</v>
      </c>
      <c r="D769" s="15">
        <f>159.63285-5.5-15.76</f>
        <v>138.37285</v>
      </c>
    </row>
    <row r="770" spans="1:4" x14ac:dyDescent="0.2">
      <c r="A770" s="12">
        <v>494</v>
      </c>
      <c r="B770" s="13">
        <v>1</v>
      </c>
      <c r="C770" s="14">
        <v>250</v>
      </c>
      <c r="D770" s="15">
        <f>80.9201475-9-9-9-9-6.3-9</f>
        <v>29.620147500000002</v>
      </c>
    </row>
    <row r="771" spans="1:4" x14ac:dyDescent="0.2">
      <c r="A771" s="12">
        <v>494</v>
      </c>
      <c r="B771" s="13">
        <v>2</v>
      </c>
      <c r="C771" s="14">
        <v>250</v>
      </c>
      <c r="D771" s="15">
        <f>92.3096025-8.22-9-6</f>
        <v>69.089602499999998</v>
      </c>
    </row>
    <row r="772" spans="1:4" x14ac:dyDescent="0.2">
      <c r="A772" s="12">
        <v>495</v>
      </c>
      <c r="B772" s="13">
        <v>1</v>
      </c>
      <c r="C772" s="14">
        <v>400</v>
      </c>
      <c r="D772" s="15">
        <v>156.99921750000001</v>
      </c>
    </row>
    <row r="773" spans="1:4" x14ac:dyDescent="0.2">
      <c r="A773" s="12">
        <v>495</v>
      </c>
      <c r="B773" s="13">
        <v>2</v>
      </c>
      <c r="C773" s="14">
        <v>400</v>
      </c>
      <c r="D773" s="15">
        <v>147.38474250000002</v>
      </c>
    </row>
    <row r="774" spans="1:4" x14ac:dyDescent="0.2">
      <c r="A774" s="12">
        <v>496</v>
      </c>
      <c r="B774" s="13">
        <v>1</v>
      </c>
      <c r="C774" s="14">
        <v>400</v>
      </c>
      <c r="D774" s="15">
        <v>144.7222725</v>
      </c>
    </row>
    <row r="775" spans="1:4" x14ac:dyDescent="0.2">
      <c r="A775" s="12">
        <v>496</v>
      </c>
      <c r="B775" s="13">
        <v>2</v>
      </c>
      <c r="C775" s="14">
        <v>400</v>
      </c>
      <c r="D775" s="15">
        <f>156.185685-3.3</f>
        <v>152.885685</v>
      </c>
    </row>
    <row r="776" spans="1:4" x14ac:dyDescent="0.2">
      <c r="A776" s="12">
        <v>497</v>
      </c>
      <c r="B776" s="13">
        <v>1</v>
      </c>
      <c r="C776" s="14">
        <v>250</v>
      </c>
      <c r="D776" s="15">
        <f>142.01259-27.5-8.25-46.75</f>
        <v>59.512589999999989</v>
      </c>
    </row>
    <row r="777" spans="1:4" x14ac:dyDescent="0.2">
      <c r="A777" s="16">
        <v>498</v>
      </c>
      <c r="B777" s="13">
        <v>1</v>
      </c>
      <c r="C777" s="17">
        <v>250</v>
      </c>
      <c r="D777" s="15">
        <f>90.01692-44.6-10.5-3.5</f>
        <v>31.416919999999998</v>
      </c>
    </row>
    <row r="778" spans="1:4" x14ac:dyDescent="0.2">
      <c r="A778" s="16">
        <v>498</v>
      </c>
      <c r="B778" s="13">
        <v>2</v>
      </c>
      <c r="C778" s="17">
        <v>160</v>
      </c>
      <c r="D778" s="15">
        <v>0</v>
      </c>
    </row>
    <row r="779" spans="1:4" x14ac:dyDescent="0.2">
      <c r="A779" s="12">
        <v>499</v>
      </c>
      <c r="B779" s="13">
        <v>1</v>
      </c>
      <c r="C779" s="14">
        <v>250</v>
      </c>
      <c r="D779" s="15">
        <f>110.577105-4.4</f>
        <v>106.177105</v>
      </c>
    </row>
    <row r="780" spans="1:4" x14ac:dyDescent="0.2">
      <c r="A780" s="12">
        <v>499</v>
      </c>
      <c r="B780" s="13">
        <v>2</v>
      </c>
      <c r="C780" s="14">
        <v>400</v>
      </c>
      <c r="D780" s="15">
        <f>121.7954475-0.11-7.7-7-11</f>
        <v>95.985447499999992</v>
      </c>
    </row>
    <row r="781" spans="1:4" x14ac:dyDescent="0.2">
      <c r="A781" s="12">
        <v>500</v>
      </c>
      <c r="B781" s="13">
        <v>1</v>
      </c>
      <c r="C781" s="14">
        <v>630</v>
      </c>
      <c r="D781" s="15">
        <f>217.72713-7.8-9-25.8</f>
        <v>175.12712999999997</v>
      </c>
    </row>
    <row r="782" spans="1:4" x14ac:dyDescent="0.2">
      <c r="A782" s="12">
        <v>500</v>
      </c>
      <c r="B782" s="13">
        <v>2</v>
      </c>
      <c r="C782" s="14">
        <v>630</v>
      </c>
      <c r="D782" s="15">
        <v>260.81970000000001</v>
      </c>
    </row>
    <row r="783" spans="1:4" x14ac:dyDescent="0.2">
      <c r="A783" s="12">
        <v>501</v>
      </c>
      <c r="B783" s="13">
        <v>1</v>
      </c>
      <c r="C783" s="14">
        <v>250</v>
      </c>
      <c r="D783" s="15">
        <f>95.5637325-9-12-6</f>
        <v>68.5637325</v>
      </c>
    </row>
    <row r="784" spans="1:4" x14ac:dyDescent="0.2">
      <c r="A784" s="12">
        <v>501</v>
      </c>
      <c r="B784" s="13">
        <v>2</v>
      </c>
      <c r="C784" s="14">
        <v>250</v>
      </c>
      <c r="D784" s="15">
        <f>86.910705-15-6</f>
        <v>65.910704999999993</v>
      </c>
    </row>
    <row r="785" spans="1:4" x14ac:dyDescent="0.2">
      <c r="A785" s="12">
        <v>502</v>
      </c>
      <c r="B785" s="13">
        <v>1</v>
      </c>
      <c r="C785" s="14">
        <v>200</v>
      </c>
      <c r="D785" s="15">
        <f>86-7-7-8.5-10.5</f>
        <v>53</v>
      </c>
    </row>
    <row r="786" spans="1:4" x14ac:dyDescent="0.2">
      <c r="A786" s="12">
        <v>503</v>
      </c>
      <c r="B786" s="13">
        <v>1</v>
      </c>
      <c r="C786" s="14">
        <v>250</v>
      </c>
      <c r="D786" s="15">
        <f>112.5-7.7-8.25-8.25-11-8.25</f>
        <v>69.05</v>
      </c>
    </row>
    <row r="787" spans="1:4" x14ac:dyDescent="0.2">
      <c r="A787" s="12">
        <v>503</v>
      </c>
      <c r="B787" s="13">
        <v>2</v>
      </c>
      <c r="C787" s="14">
        <v>250</v>
      </c>
      <c r="D787" s="15">
        <f>90.756495-3.5-5.5-8.25-8.25</f>
        <v>65.256495000000001</v>
      </c>
    </row>
    <row r="788" spans="1:4" x14ac:dyDescent="0.2">
      <c r="A788" s="12">
        <v>504</v>
      </c>
      <c r="B788" s="13">
        <v>1</v>
      </c>
      <c r="C788" s="14">
        <v>400</v>
      </c>
      <c r="D788" s="15">
        <f>153.523215-4.5</f>
        <v>149.02321499999999</v>
      </c>
    </row>
    <row r="789" spans="1:4" x14ac:dyDescent="0.2">
      <c r="A789" s="12">
        <v>504</v>
      </c>
      <c r="B789" s="13">
        <v>2</v>
      </c>
      <c r="C789" s="14">
        <v>630</v>
      </c>
      <c r="D789" s="15">
        <v>225.07357500000001</v>
      </c>
    </row>
    <row r="790" spans="1:4" x14ac:dyDescent="0.2">
      <c r="A790" s="12">
        <v>505</v>
      </c>
      <c r="B790" s="13">
        <v>1</v>
      </c>
      <c r="C790" s="14">
        <v>400</v>
      </c>
      <c r="D790" s="15">
        <v>0</v>
      </c>
    </row>
    <row r="791" spans="1:4" x14ac:dyDescent="0.2">
      <c r="A791" s="12">
        <v>506</v>
      </c>
      <c r="B791" s="13">
        <v>1</v>
      </c>
      <c r="C791" s="14">
        <v>400</v>
      </c>
      <c r="D791" s="15">
        <f>180-46.75</f>
        <v>133.25</v>
      </c>
    </row>
    <row r="792" spans="1:4" x14ac:dyDescent="0.2">
      <c r="A792" s="12">
        <v>506</v>
      </c>
      <c r="B792" s="13">
        <v>2</v>
      </c>
      <c r="C792" s="14">
        <v>400</v>
      </c>
      <c r="D792" s="15">
        <f>173.5656975-46.75</f>
        <v>126.8156975</v>
      </c>
    </row>
    <row r="793" spans="1:4" x14ac:dyDescent="0.2">
      <c r="A793" s="12">
        <v>507</v>
      </c>
      <c r="B793" s="13">
        <v>1</v>
      </c>
      <c r="C793" s="14">
        <v>250</v>
      </c>
      <c r="D793" s="15">
        <v>0</v>
      </c>
    </row>
    <row r="794" spans="1:4" x14ac:dyDescent="0.2">
      <c r="A794" s="12">
        <v>508</v>
      </c>
      <c r="B794" s="13">
        <v>1</v>
      </c>
      <c r="C794" s="14">
        <v>400</v>
      </c>
      <c r="D794" s="15">
        <f>225.2085-35</f>
        <v>190.20849999999999</v>
      </c>
    </row>
    <row r="795" spans="1:4" x14ac:dyDescent="0.2">
      <c r="A795" s="12" t="s">
        <v>7</v>
      </c>
      <c r="B795" s="13">
        <v>1</v>
      </c>
      <c r="C795" s="14">
        <v>630</v>
      </c>
      <c r="D795" s="15">
        <f>281.23197-271.47</f>
        <v>9.7619699999999625</v>
      </c>
    </row>
    <row r="796" spans="1:4" x14ac:dyDescent="0.2">
      <c r="A796" s="12" t="s">
        <v>7</v>
      </c>
      <c r="B796" s="13">
        <v>2</v>
      </c>
      <c r="C796" s="14">
        <v>630</v>
      </c>
      <c r="D796" s="15">
        <v>0</v>
      </c>
    </row>
    <row r="797" spans="1:4" x14ac:dyDescent="0.2">
      <c r="A797" s="12">
        <v>510</v>
      </c>
      <c r="B797" s="13">
        <v>1</v>
      </c>
      <c r="C797" s="14">
        <v>400</v>
      </c>
      <c r="D797" s="15">
        <f>174.7490175-138</f>
        <v>36.749017500000008</v>
      </c>
    </row>
    <row r="798" spans="1:4" x14ac:dyDescent="0.2">
      <c r="A798" s="12">
        <v>510</v>
      </c>
      <c r="B798" s="13">
        <v>2</v>
      </c>
      <c r="C798" s="14">
        <v>400</v>
      </c>
      <c r="D798" s="15">
        <f>127.2683025-6-7.2-9-60</f>
        <v>45.068302500000001</v>
      </c>
    </row>
    <row r="799" spans="1:4" x14ac:dyDescent="0.2">
      <c r="A799" s="12">
        <v>511</v>
      </c>
      <c r="B799" s="13">
        <v>1</v>
      </c>
      <c r="C799" s="14">
        <v>400</v>
      </c>
      <c r="D799" s="15">
        <v>153.81904500000002</v>
      </c>
    </row>
    <row r="800" spans="1:4" x14ac:dyDescent="0.2">
      <c r="A800" s="12">
        <v>511</v>
      </c>
      <c r="B800" s="13">
        <v>2</v>
      </c>
      <c r="C800" s="14">
        <v>400</v>
      </c>
      <c r="D800" s="15">
        <v>0</v>
      </c>
    </row>
    <row r="801" spans="1:4" x14ac:dyDescent="0.2">
      <c r="A801" s="12">
        <v>512</v>
      </c>
      <c r="B801" s="13">
        <v>1</v>
      </c>
      <c r="C801" s="14">
        <v>250</v>
      </c>
      <c r="D801" s="15">
        <v>0</v>
      </c>
    </row>
    <row r="802" spans="1:4" x14ac:dyDescent="0.2">
      <c r="A802" s="12">
        <v>512</v>
      </c>
      <c r="B802" s="13">
        <v>2</v>
      </c>
      <c r="C802" s="14">
        <v>250</v>
      </c>
      <c r="D802" s="15">
        <v>0</v>
      </c>
    </row>
    <row r="803" spans="1:4" x14ac:dyDescent="0.2">
      <c r="A803" s="12">
        <v>513</v>
      </c>
      <c r="B803" s="13">
        <v>1</v>
      </c>
      <c r="C803" s="14">
        <v>400</v>
      </c>
      <c r="D803" s="15">
        <f>112.7726325-10.5-3.5</f>
        <v>98.7726325</v>
      </c>
    </row>
    <row r="804" spans="1:4" x14ac:dyDescent="0.2">
      <c r="A804" s="12">
        <v>513</v>
      </c>
      <c r="B804" s="13">
        <v>2</v>
      </c>
      <c r="C804" s="14">
        <v>400</v>
      </c>
      <c r="D804" s="15">
        <v>166.61369250000001</v>
      </c>
    </row>
    <row r="805" spans="1:4" x14ac:dyDescent="0.2">
      <c r="A805" s="12">
        <v>514</v>
      </c>
      <c r="B805" s="13">
        <v>1</v>
      </c>
      <c r="C805" s="14">
        <v>250</v>
      </c>
      <c r="D805" s="15">
        <v>90.904410000000013</v>
      </c>
    </row>
    <row r="806" spans="1:4" x14ac:dyDescent="0.2">
      <c r="A806" s="12">
        <v>514</v>
      </c>
      <c r="B806" s="13">
        <v>2</v>
      </c>
      <c r="C806" s="14">
        <v>250</v>
      </c>
      <c r="D806" s="15">
        <v>102.07199250000001</v>
      </c>
    </row>
    <row r="807" spans="1:4" x14ac:dyDescent="0.2">
      <c r="A807" s="12">
        <v>515</v>
      </c>
      <c r="B807" s="13">
        <v>1</v>
      </c>
      <c r="C807" s="14">
        <v>400</v>
      </c>
      <c r="D807" s="15">
        <f>164.2470525-90-10.68</f>
        <v>63.567052499999996</v>
      </c>
    </row>
    <row r="808" spans="1:4" x14ac:dyDescent="0.2">
      <c r="A808" s="12">
        <v>515</v>
      </c>
      <c r="B808" s="13">
        <v>2</v>
      </c>
      <c r="C808" s="14">
        <v>400</v>
      </c>
      <c r="D808" s="15">
        <v>168.01888499999998</v>
      </c>
    </row>
    <row r="809" spans="1:4" x14ac:dyDescent="0.2">
      <c r="A809" s="12">
        <v>516</v>
      </c>
      <c r="B809" s="13">
        <v>1</v>
      </c>
      <c r="C809" s="14">
        <v>400</v>
      </c>
      <c r="D809" s="15">
        <f>145.0181025-68.11-4.9</f>
        <v>72.008102499999993</v>
      </c>
    </row>
    <row r="810" spans="1:4" x14ac:dyDescent="0.2">
      <c r="A810" s="12">
        <v>516</v>
      </c>
      <c r="B810" s="13">
        <v>2</v>
      </c>
      <c r="C810" s="14">
        <v>400</v>
      </c>
      <c r="D810" s="15">
        <f>172.60425-68.11-6.3</f>
        <v>98.194250000000011</v>
      </c>
    </row>
    <row r="811" spans="1:4" x14ac:dyDescent="0.2">
      <c r="A811" s="12">
        <v>517</v>
      </c>
      <c r="B811" s="13">
        <v>1</v>
      </c>
      <c r="C811" s="14">
        <v>400</v>
      </c>
      <c r="D811" s="15">
        <f>133.406775-7.8</f>
        <v>125.60677500000001</v>
      </c>
    </row>
    <row r="812" spans="1:4" x14ac:dyDescent="0.2">
      <c r="A812" s="12">
        <v>517</v>
      </c>
      <c r="B812" s="13">
        <v>2</v>
      </c>
      <c r="C812" s="14">
        <v>400</v>
      </c>
      <c r="D812" s="15">
        <v>170.82927000000001</v>
      </c>
    </row>
    <row r="813" spans="1:4" x14ac:dyDescent="0.2">
      <c r="A813" s="12">
        <v>518</v>
      </c>
      <c r="B813" s="13">
        <v>1</v>
      </c>
      <c r="C813" s="14">
        <v>250</v>
      </c>
      <c r="D813" s="15">
        <f>86.79099-8.5-12.75</f>
        <v>65.540989999999994</v>
      </c>
    </row>
    <row r="814" spans="1:4" x14ac:dyDescent="0.2">
      <c r="A814" s="12">
        <v>519</v>
      </c>
      <c r="B814" s="13">
        <v>1</v>
      </c>
      <c r="C814" s="14">
        <v>400</v>
      </c>
      <c r="D814" s="15">
        <v>107</v>
      </c>
    </row>
    <row r="815" spans="1:4" x14ac:dyDescent="0.2">
      <c r="A815" s="12">
        <v>520</v>
      </c>
      <c r="B815" s="13">
        <v>1</v>
      </c>
      <c r="C815" s="14">
        <v>400</v>
      </c>
      <c r="D815" s="15">
        <v>122.60898</v>
      </c>
    </row>
    <row r="816" spans="1:4" x14ac:dyDescent="0.2">
      <c r="A816" s="12">
        <v>520</v>
      </c>
      <c r="B816" s="13">
        <v>2</v>
      </c>
      <c r="C816" s="14">
        <v>400</v>
      </c>
      <c r="D816" s="15">
        <v>133.3328175</v>
      </c>
    </row>
    <row r="817" spans="1:4" x14ac:dyDescent="0.2">
      <c r="A817" s="12">
        <v>521</v>
      </c>
      <c r="B817" s="13">
        <v>1</v>
      </c>
      <c r="C817" s="14">
        <v>250</v>
      </c>
      <c r="D817" s="15">
        <f>73.35183-7.56</f>
        <v>65.791830000000004</v>
      </c>
    </row>
    <row r="818" spans="1:4" x14ac:dyDescent="0.2">
      <c r="A818" s="12">
        <v>521</v>
      </c>
      <c r="B818" s="13">
        <v>2</v>
      </c>
      <c r="C818" s="14">
        <v>250</v>
      </c>
      <c r="D818" s="15">
        <v>112.5</v>
      </c>
    </row>
    <row r="819" spans="1:4" x14ac:dyDescent="0.2">
      <c r="A819" s="16">
        <v>522</v>
      </c>
      <c r="B819" s="13">
        <v>1</v>
      </c>
      <c r="C819" s="17">
        <v>250</v>
      </c>
      <c r="D819" s="15">
        <f>88.8336-7</f>
        <v>81.833600000000004</v>
      </c>
    </row>
    <row r="820" spans="1:4" x14ac:dyDescent="0.2">
      <c r="A820" s="16">
        <v>522</v>
      </c>
      <c r="B820" s="13">
        <v>2</v>
      </c>
      <c r="C820" s="17">
        <v>250</v>
      </c>
      <c r="D820" s="15">
        <f>107.47089-1.2</f>
        <v>106.27088999999999</v>
      </c>
    </row>
    <row r="821" spans="1:4" x14ac:dyDescent="0.2">
      <c r="A821" s="12">
        <v>523</v>
      </c>
      <c r="B821" s="13">
        <v>1</v>
      </c>
      <c r="C821" s="14">
        <v>250</v>
      </c>
      <c r="D821" s="15">
        <v>150</v>
      </c>
    </row>
    <row r="822" spans="1:4" x14ac:dyDescent="0.2">
      <c r="A822" s="12">
        <v>524</v>
      </c>
      <c r="B822" s="13">
        <v>1</v>
      </c>
      <c r="C822" s="14">
        <v>320</v>
      </c>
      <c r="D822" s="15">
        <f>144.76581-8.25-5.05-1.1-2.75</f>
        <v>127.61580999999998</v>
      </c>
    </row>
    <row r="823" spans="1:4" x14ac:dyDescent="0.2">
      <c r="A823" s="12">
        <v>525</v>
      </c>
      <c r="B823" s="13">
        <v>1</v>
      </c>
      <c r="C823" s="14">
        <v>630</v>
      </c>
      <c r="D823" s="15">
        <v>224.2600425</v>
      </c>
    </row>
    <row r="824" spans="1:4" x14ac:dyDescent="0.2">
      <c r="A824" s="12">
        <v>525</v>
      </c>
      <c r="B824" s="13">
        <v>2</v>
      </c>
      <c r="C824" s="14">
        <v>630</v>
      </c>
      <c r="D824" s="15">
        <v>247.26082499999998</v>
      </c>
    </row>
    <row r="825" spans="1:4" x14ac:dyDescent="0.2">
      <c r="A825" s="12">
        <v>526</v>
      </c>
      <c r="B825" s="13">
        <v>1</v>
      </c>
      <c r="C825" s="14">
        <v>250</v>
      </c>
      <c r="D825" s="15">
        <f>79.52672-9-9-9-9.3-3-3-9-3.5</f>
        <v>24.72672</v>
      </c>
    </row>
    <row r="826" spans="1:4" x14ac:dyDescent="0.2">
      <c r="A826" s="12">
        <v>527</v>
      </c>
      <c r="B826" s="13">
        <v>1</v>
      </c>
      <c r="C826" s="14">
        <v>250</v>
      </c>
      <c r="D826" s="15">
        <v>0</v>
      </c>
    </row>
    <row r="827" spans="1:4" x14ac:dyDescent="0.2">
      <c r="A827" s="12">
        <v>527</v>
      </c>
      <c r="B827" s="13">
        <v>2</v>
      </c>
      <c r="C827" s="14">
        <v>250</v>
      </c>
      <c r="D827" s="15">
        <f>90-39.9-10.5</f>
        <v>39.6</v>
      </c>
    </row>
    <row r="828" spans="1:4" x14ac:dyDescent="0.2">
      <c r="A828" s="12">
        <v>528</v>
      </c>
      <c r="B828" s="13">
        <v>1</v>
      </c>
      <c r="C828" s="14">
        <v>400</v>
      </c>
      <c r="D828" s="15">
        <f>173.19591-24-16.5-15.75</f>
        <v>116.94591</v>
      </c>
    </row>
    <row r="829" spans="1:4" x14ac:dyDescent="0.2">
      <c r="A829" s="12">
        <v>528</v>
      </c>
      <c r="B829" s="13">
        <v>2</v>
      </c>
      <c r="C829" s="14">
        <v>400</v>
      </c>
      <c r="D829" s="15">
        <f>160.47522-11.25</f>
        <v>149.22522000000001</v>
      </c>
    </row>
    <row r="830" spans="1:4" x14ac:dyDescent="0.2">
      <c r="A830" s="12">
        <v>529</v>
      </c>
      <c r="B830" s="13">
        <v>1</v>
      </c>
      <c r="C830" s="14">
        <v>250</v>
      </c>
      <c r="D830" s="15">
        <f>131.85576-37.68</f>
        <v>94.175759999999997</v>
      </c>
    </row>
    <row r="831" spans="1:4" x14ac:dyDescent="0.2">
      <c r="A831" s="12">
        <v>530</v>
      </c>
      <c r="B831" s="13">
        <v>1</v>
      </c>
      <c r="C831" s="14">
        <v>400</v>
      </c>
      <c r="D831" s="15">
        <v>129.85681500000001</v>
      </c>
    </row>
    <row r="832" spans="1:4" x14ac:dyDescent="0.2">
      <c r="A832" s="12">
        <v>530</v>
      </c>
      <c r="B832" s="13">
        <v>2</v>
      </c>
      <c r="C832" s="14">
        <v>400</v>
      </c>
      <c r="D832" s="15">
        <f>172.30842-35</f>
        <v>137.30842000000001</v>
      </c>
    </row>
    <row r="833" spans="1:4" x14ac:dyDescent="0.2">
      <c r="A833" s="12">
        <v>531</v>
      </c>
      <c r="B833" s="13">
        <v>1</v>
      </c>
      <c r="C833" s="14">
        <v>250</v>
      </c>
      <c r="D833" s="15">
        <v>91.717942500000007</v>
      </c>
    </row>
    <row r="834" spans="1:4" x14ac:dyDescent="0.2">
      <c r="A834" s="12">
        <v>531</v>
      </c>
      <c r="B834" s="13">
        <v>2</v>
      </c>
      <c r="C834" s="14">
        <v>400</v>
      </c>
      <c r="D834" s="15">
        <f>129.6349425-21</f>
        <v>108.63494249999999</v>
      </c>
    </row>
    <row r="835" spans="1:4" x14ac:dyDescent="0.2">
      <c r="A835" s="12">
        <v>532</v>
      </c>
      <c r="B835" s="13">
        <v>1</v>
      </c>
      <c r="C835" s="14">
        <v>400</v>
      </c>
      <c r="D835" s="15">
        <v>160.47522000000001</v>
      </c>
    </row>
    <row r="836" spans="1:4" x14ac:dyDescent="0.2">
      <c r="A836" s="12">
        <v>532</v>
      </c>
      <c r="B836" s="13">
        <v>2</v>
      </c>
      <c r="C836" s="14">
        <v>250</v>
      </c>
      <c r="D836" s="15">
        <v>89.4992175</v>
      </c>
    </row>
    <row r="837" spans="1:4" x14ac:dyDescent="0.2">
      <c r="A837" s="12">
        <v>533</v>
      </c>
      <c r="B837" s="13">
        <v>1</v>
      </c>
      <c r="C837" s="14">
        <v>630</v>
      </c>
      <c r="D837" s="15">
        <f>252.27225-5.4-19.6</f>
        <v>227.27225000000001</v>
      </c>
    </row>
    <row r="838" spans="1:4" x14ac:dyDescent="0.2">
      <c r="A838" s="12">
        <v>534</v>
      </c>
      <c r="B838" s="13">
        <v>1</v>
      </c>
      <c r="C838" s="14">
        <v>630</v>
      </c>
      <c r="D838" s="15">
        <f>233.93079-10.5</f>
        <v>223.43079</v>
      </c>
    </row>
    <row r="839" spans="1:4" x14ac:dyDescent="0.2">
      <c r="A839" s="12">
        <v>535</v>
      </c>
      <c r="B839" s="13">
        <v>1</v>
      </c>
      <c r="C839" s="14">
        <v>250</v>
      </c>
      <c r="D839" s="15">
        <f>80.0326575-9-25.8</f>
        <v>45.232657500000002</v>
      </c>
    </row>
    <row r="840" spans="1:4" x14ac:dyDescent="0.2">
      <c r="A840" s="12">
        <v>535</v>
      </c>
      <c r="B840" s="13">
        <v>2</v>
      </c>
      <c r="C840" s="14">
        <v>250</v>
      </c>
      <c r="D840" s="15">
        <f>99.77931-66</f>
        <v>33.779309999999995</v>
      </c>
    </row>
    <row r="841" spans="1:4" x14ac:dyDescent="0.2">
      <c r="A841" s="12">
        <v>536</v>
      </c>
      <c r="B841" s="13">
        <v>1</v>
      </c>
      <c r="C841" s="14">
        <v>630</v>
      </c>
      <c r="D841" s="15">
        <f>284.25-10.5-10.5-10.5-8.25</f>
        <v>244.5</v>
      </c>
    </row>
    <row r="842" spans="1:4" x14ac:dyDescent="0.2">
      <c r="A842" s="12">
        <v>536</v>
      </c>
      <c r="B842" s="13">
        <v>2</v>
      </c>
      <c r="C842" s="14">
        <v>630</v>
      </c>
      <c r="D842" s="15">
        <v>284</v>
      </c>
    </row>
    <row r="843" spans="1:4" x14ac:dyDescent="0.2">
      <c r="A843" s="12">
        <v>537</v>
      </c>
      <c r="B843" s="13">
        <v>1</v>
      </c>
      <c r="C843" s="14">
        <v>250</v>
      </c>
      <c r="D843" s="15">
        <v>0</v>
      </c>
    </row>
    <row r="844" spans="1:4" x14ac:dyDescent="0.2">
      <c r="A844" s="12">
        <v>537</v>
      </c>
      <c r="B844" s="13">
        <v>2</v>
      </c>
      <c r="C844" s="14">
        <v>250</v>
      </c>
      <c r="D844" s="15">
        <f>86.76279-13.65</f>
        <v>73.11278999999999</v>
      </c>
    </row>
    <row r="845" spans="1:4" x14ac:dyDescent="0.2">
      <c r="A845" s="12">
        <v>538</v>
      </c>
      <c r="B845" s="13">
        <v>1</v>
      </c>
      <c r="C845" s="14">
        <v>400</v>
      </c>
      <c r="D845" s="15">
        <f>180-111-55</f>
        <v>14</v>
      </c>
    </row>
    <row r="846" spans="1:4" x14ac:dyDescent="0.2">
      <c r="A846" s="12">
        <v>538</v>
      </c>
      <c r="B846" s="13">
        <v>2</v>
      </c>
      <c r="C846" s="14">
        <v>400</v>
      </c>
      <c r="D846" s="15">
        <f>180-111</f>
        <v>69</v>
      </c>
    </row>
    <row r="847" spans="1:4" x14ac:dyDescent="0.2">
      <c r="A847" s="12">
        <v>539</v>
      </c>
      <c r="B847" s="13">
        <v>1</v>
      </c>
      <c r="C847" s="14">
        <v>400</v>
      </c>
      <c r="D847" s="15">
        <f>146.423295-12-9-30</f>
        <v>95.423294999999996</v>
      </c>
    </row>
    <row r="848" spans="1:4" x14ac:dyDescent="0.2">
      <c r="A848" s="12">
        <v>539</v>
      </c>
      <c r="B848" s="13">
        <v>2</v>
      </c>
      <c r="C848" s="14">
        <v>400</v>
      </c>
      <c r="D848" s="15">
        <v>159.14398500000001</v>
      </c>
    </row>
    <row r="849" spans="1:4" x14ac:dyDescent="0.2">
      <c r="A849" s="12">
        <v>540</v>
      </c>
      <c r="B849" s="13">
        <v>1</v>
      </c>
      <c r="C849" s="14">
        <v>630</v>
      </c>
      <c r="D849" s="15">
        <v>284</v>
      </c>
    </row>
    <row r="850" spans="1:4" x14ac:dyDescent="0.2">
      <c r="A850" s="12">
        <v>540</v>
      </c>
      <c r="B850" s="13">
        <v>2</v>
      </c>
      <c r="C850" s="14">
        <v>630</v>
      </c>
      <c r="D850" s="15">
        <f>284-9</f>
        <v>275</v>
      </c>
    </row>
    <row r="851" spans="1:4" x14ac:dyDescent="0.2">
      <c r="A851" s="12">
        <v>541</v>
      </c>
      <c r="B851" s="13">
        <v>1</v>
      </c>
      <c r="C851" s="14">
        <v>160</v>
      </c>
      <c r="D851" s="15">
        <f>56.61684-9.3-9-0.72</f>
        <v>37.59684</v>
      </c>
    </row>
    <row r="852" spans="1:4" x14ac:dyDescent="0.2">
      <c r="A852" s="12">
        <v>541</v>
      </c>
      <c r="B852" s="13">
        <v>2</v>
      </c>
      <c r="C852" s="14">
        <v>250</v>
      </c>
      <c r="D852" s="15">
        <f>91.1262825-6.3</f>
        <v>84.826282500000005</v>
      </c>
    </row>
    <row r="853" spans="1:4" x14ac:dyDescent="0.2">
      <c r="A853" s="12">
        <v>542</v>
      </c>
      <c r="B853" s="13">
        <v>1</v>
      </c>
      <c r="C853" s="14">
        <v>400</v>
      </c>
      <c r="D853" s="15">
        <f>156.9992175-6</f>
        <v>150.99921749999999</v>
      </c>
    </row>
    <row r="854" spans="1:4" x14ac:dyDescent="0.2">
      <c r="A854" s="12">
        <v>542</v>
      </c>
      <c r="B854" s="13">
        <v>2</v>
      </c>
      <c r="C854" s="14">
        <v>400</v>
      </c>
      <c r="D854" s="15">
        <v>159.51377250000002</v>
      </c>
    </row>
    <row r="855" spans="1:4" x14ac:dyDescent="0.2">
      <c r="A855" s="12">
        <v>543</v>
      </c>
      <c r="B855" s="13">
        <v>1</v>
      </c>
      <c r="C855" s="14">
        <v>400</v>
      </c>
      <c r="D855" s="15">
        <v>0</v>
      </c>
    </row>
    <row r="856" spans="1:4" x14ac:dyDescent="0.2">
      <c r="A856" s="12">
        <v>544</v>
      </c>
      <c r="B856" s="13">
        <v>1</v>
      </c>
      <c r="C856" s="14">
        <v>630</v>
      </c>
      <c r="D856" s="15">
        <f>256-188.58-9-9-15</f>
        <v>34.419999999999987</v>
      </c>
    </row>
    <row r="857" spans="1:4" x14ac:dyDescent="0.2">
      <c r="A857" s="12">
        <v>544</v>
      </c>
      <c r="B857" s="13">
        <v>2</v>
      </c>
      <c r="C857" s="14">
        <v>630</v>
      </c>
      <c r="D857" s="15">
        <f>278-188.58</f>
        <v>89.419999999999987</v>
      </c>
    </row>
    <row r="858" spans="1:4" x14ac:dyDescent="0.2">
      <c r="A858" s="12">
        <v>545</v>
      </c>
      <c r="B858" s="13">
        <v>1</v>
      </c>
      <c r="C858" s="14">
        <v>250</v>
      </c>
      <c r="D858" s="15">
        <f>90.9783675-0.7</f>
        <v>90.278367500000002</v>
      </c>
    </row>
    <row r="859" spans="1:4" x14ac:dyDescent="0.2">
      <c r="A859" s="12">
        <v>545</v>
      </c>
      <c r="B859" s="13">
        <v>2</v>
      </c>
      <c r="C859" s="14">
        <v>250</v>
      </c>
      <c r="D859" s="15">
        <f>86.0971725-10.5-7</f>
        <v>68.597172499999999</v>
      </c>
    </row>
    <row r="860" spans="1:4" x14ac:dyDescent="0.2">
      <c r="A860" s="12">
        <v>546</v>
      </c>
      <c r="B860" s="13">
        <v>1</v>
      </c>
      <c r="C860" s="14">
        <v>400</v>
      </c>
      <c r="D860" s="15">
        <v>0</v>
      </c>
    </row>
    <row r="861" spans="1:4" x14ac:dyDescent="0.2">
      <c r="A861" s="12">
        <v>546</v>
      </c>
      <c r="B861" s="13">
        <v>2</v>
      </c>
      <c r="C861" s="14">
        <v>400</v>
      </c>
      <c r="D861" s="15">
        <f>172.99869-60</f>
        <v>112.99869000000001</v>
      </c>
    </row>
    <row r="862" spans="1:4" x14ac:dyDescent="0.2">
      <c r="A862" s="12">
        <v>547</v>
      </c>
      <c r="B862" s="13">
        <v>1</v>
      </c>
      <c r="C862" s="14">
        <v>400</v>
      </c>
      <c r="D862" s="15">
        <v>139.56990000000002</v>
      </c>
    </row>
    <row r="863" spans="1:4" x14ac:dyDescent="0.2">
      <c r="A863" s="12">
        <v>547</v>
      </c>
      <c r="B863" s="13">
        <v>2</v>
      </c>
      <c r="C863" s="14">
        <v>250</v>
      </c>
      <c r="D863" s="15">
        <v>40.613309999999991</v>
      </c>
    </row>
    <row r="864" spans="1:4" x14ac:dyDescent="0.2">
      <c r="A864" s="12">
        <v>548</v>
      </c>
      <c r="B864" s="13">
        <v>1</v>
      </c>
      <c r="C864" s="14">
        <v>400</v>
      </c>
      <c r="D864" s="15">
        <f>179-8.25</f>
        <v>170.75</v>
      </c>
    </row>
    <row r="865" spans="1:4" x14ac:dyDescent="0.2">
      <c r="A865" s="12">
        <v>548</v>
      </c>
      <c r="B865" s="13">
        <v>2</v>
      </c>
      <c r="C865" s="14">
        <v>250</v>
      </c>
      <c r="D865" s="15">
        <f>45.494505-5.5-0.55</f>
        <v>39.444504999999999</v>
      </c>
    </row>
    <row r="866" spans="1:4" x14ac:dyDescent="0.2">
      <c r="A866" s="12">
        <v>549</v>
      </c>
      <c r="B866" s="13">
        <v>1</v>
      </c>
      <c r="C866" s="14">
        <v>400</v>
      </c>
      <c r="D866" s="15">
        <v>170.33622</v>
      </c>
    </row>
    <row r="867" spans="1:4" x14ac:dyDescent="0.2">
      <c r="A867" s="12">
        <v>549</v>
      </c>
      <c r="B867" s="13">
        <v>2</v>
      </c>
      <c r="C867" s="14">
        <v>400</v>
      </c>
      <c r="D867" s="15">
        <v>175.36533</v>
      </c>
    </row>
    <row r="868" spans="1:4" x14ac:dyDescent="0.2">
      <c r="A868" s="12">
        <v>550</v>
      </c>
      <c r="B868" s="13">
        <v>1</v>
      </c>
      <c r="C868" s="14">
        <v>250</v>
      </c>
      <c r="D868" s="15">
        <f>94.48257-16.5-5.5-8.25-8.25-8.25</f>
        <v>47.732569999999996</v>
      </c>
    </row>
    <row r="869" spans="1:4" x14ac:dyDescent="0.2">
      <c r="A869" s="12">
        <v>551</v>
      </c>
      <c r="B869" s="13">
        <v>1</v>
      </c>
      <c r="C869" s="14">
        <v>400</v>
      </c>
      <c r="D869" s="15">
        <f>180-8.25</f>
        <v>171.75</v>
      </c>
    </row>
    <row r="870" spans="1:4" x14ac:dyDescent="0.2">
      <c r="A870" s="12">
        <v>551</v>
      </c>
      <c r="B870" s="13">
        <v>2</v>
      </c>
      <c r="C870" s="14">
        <v>400</v>
      </c>
      <c r="D870" s="15">
        <v>180</v>
      </c>
    </row>
    <row r="871" spans="1:4" x14ac:dyDescent="0.2">
      <c r="A871" s="12">
        <v>552</v>
      </c>
      <c r="B871" s="13">
        <v>1</v>
      </c>
      <c r="C871" s="14">
        <v>250</v>
      </c>
      <c r="D871" s="15">
        <f>94.65159-21</f>
        <v>73.651589999999999</v>
      </c>
    </row>
    <row r="872" spans="1:4" x14ac:dyDescent="0.2">
      <c r="A872" s="12">
        <v>552</v>
      </c>
      <c r="B872" s="13">
        <v>2</v>
      </c>
      <c r="C872" s="14">
        <v>250</v>
      </c>
      <c r="D872" s="15">
        <v>108.75282</v>
      </c>
    </row>
    <row r="873" spans="1:4" x14ac:dyDescent="0.2">
      <c r="A873" s="12">
        <v>553</v>
      </c>
      <c r="B873" s="13">
        <v>1</v>
      </c>
      <c r="C873" s="14">
        <v>160</v>
      </c>
      <c r="D873" s="15">
        <v>0</v>
      </c>
    </row>
    <row r="874" spans="1:4" x14ac:dyDescent="0.2">
      <c r="A874" s="12">
        <v>554</v>
      </c>
      <c r="B874" s="13">
        <v>1</v>
      </c>
      <c r="C874" s="14">
        <v>630</v>
      </c>
      <c r="D874" s="15">
        <v>257.91070500000001</v>
      </c>
    </row>
    <row r="875" spans="1:4" x14ac:dyDescent="0.2">
      <c r="A875" s="12">
        <v>554</v>
      </c>
      <c r="B875" s="13">
        <v>2</v>
      </c>
      <c r="C875" s="14">
        <v>630</v>
      </c>
      <c r="D875" s="15">
        <v>245.63376</v>
      </c>
    </row>
    <row r="876" spans="1:4" x14ac:dyDescent="0.2">
      <c r="A876" s="12">
        <v>555</v>
      </c>
      <c r="B876" s="13">
        <v>1</v>
      </c>
      <c r="C876" s="14">
        <v>630</v>
      </c>
      <c r="D876" s="15">
        <f>283.5-19.6</f>
        <v>263.89999999999998</v>
      </c>
    </row>
    <row r="877" spans="1:4" x14ac:dyDescent="0.2">
      <c r="A877" s="12">
        <v>555</v>
      </c>
      <c r="B877" s="13">
        <v>2</v>
      </c>
      <c r="C877" s="14">
        <v>630</v>
      </c>
      <c r="D877" s="15">
        <v>283.5</v>
      </c>
    </row>
    <row r="878" spans="1:4" x14ac:dyDescent="0.2">
      <c r="A878" s="12">
        <v>556</v>
      </c>
      <c r="B878" s="13">
        <v>1</v>
      </c>
      <c r="C878" s="14">
        <v>400</v>
      </c>
      <c r="D878" s="15">
        <f>159.1398-10.5-10.5-2.1-35</f>
        <v>101.03980000000001</v>
      </c>
    </row>
    <row r="879" spans="1:4" x14ac:dyDescent="0.2">
      <c r="A879" s="12">
        <v>557</v>
      </c>
      <c r="B879" s="13">
        <v>1</v>
      </c>
      <c r="C879" s="14">
        <v>630</v>
      </c>
      <c r="D879" s="15">
        <f>234.7620075-10.5</f>
        <v>224.26200750000001</v>
      </c>
    </row>
    <row r="880" spans="1:4" x14ac:dyDescent="0.2">
      <c r="A880" s="12">
        <v>557</v>
      </c>
      <c r="B880" s="13">
        <v>2</v>
      </c>
      <c r="C880" s="14">
        <v>630</v>
      </c>
      <c r="D880" s="15">
        <v>242.97129000000001</v>
      </c>
    </row>
    <row r="881" spans="1:4" x14ac:dyDescent="0.2">
      <c r="A881" s="12">
        <v>558</v>
      </c>
      <c r="B881" s="13">
        <v>1</v>
      </c>
      <c r="C881" s="14">
        <v>400</v>
      </c>
      <c r="D881" s="15">
        <f>168.2407575-9</f>
        <v>159.2407575</v>
      </c>
    </row>
    <row r="882" spans="1:4" x14ac:dyDescent="0.2">
      <c r="A882" s="12">
        <v>558</v>
      </c>
      <c r="B882" s="13">
        <v>2</v>
      </c>
      <c r="C882" s="14">
        <v>400</v>
      </c>
      <c r="D882" s="15">
        <v>164.76475500000001</v>
      </c>
    </row>
    <row r="883" spans="1:4" x14ac:dyDescent="0.2">
      <c r="A883" s="12">
        <v>559</v>
      </c>
      <c r="B883" s="13">
        <v>1</v>
      </c>
      <c r="C883" s="14">
        <v>250</v>
      </c>
      <c r="D883" s="15">
        <f>95.14464-30</f>
        <v>65.144639999999995</v>
      </c>
    </row>
    <row r="884" spans="1:4" x14ac:dyDescent="0.2">
      <c r="A884" s="12">
        <v>559</v>
      </c>
      <c r="B884" s="13">
        <v>2</v>
      </c>
      <c r="C884" s="14">
        <v>250</v>
      </c>
      <c r="D884" s="15">
        <v>77.592060000000004</v>
      </c>
    </row>
    <row r="885" spans="1:4" x14ac:dyDescent="0.2">
      <c r="A885" s="12">
        <v>560</v>
      </c>
      <c r="B885" s="13">
        <v>1</v>
      </c>
      <c r="C885" s="14">
        <v>400</v>
      </c>
      <c r="D885" s="15">
        <f>162.4720725-90</f>
        <v>72.472072499999996</v>
      </c>
    </row>
    <row r="886" spans="1:4" x14ac:dyDescent="0.2">
      <c r="A886" s="12">
        <v>560</v>
      </c>
      <c r="B886" s="13">
        <v>2</v>
      </c>
      <c r="C886" s="14">
        <v>400</v>
      </c>
      <c r="D886" s="15">
        <f>179.40834-90</f>
        <v>89.40834000000001</v>
      </c>
    </row>
    <row r="887" spans="1:4" x14ac:dyDescent="0.2">
      <c r="A887" s="12">
        <v>561</v>
      </c>
      <c r="B887" s="13">
        <v>1</v>
      </c>
      <c r="C887" s="14">
        <v>160</v>
      </c>
      <c r="D887" s="15">
        <v>61.054290000000002</v>
      </c>
    </row>
    <row r="888" spans="1:4" x14ac:dyDescent="0.2">
      <c r="A888" s="12">
        <v>561</v>
      </c>
      <c r="B888" s="13">
        <v>2</v>
      </c>
      <c r="C888" s="14">
        <v>160</v>
      </c>
      <c r="D888" s="15">
        <v>61.128247500000008</v>
      </c>
    </row>
    <row r="889" spans="1:4" x14ac:dyDescent="0.2">
      <c r="A889" s="12">
        <v>562</v>
      </c>
      <c r="B889" s="13">
        <v>1</v>
      </c>
      <c r="C889" s="14">
        <v>400</v>
      </c>
      <c r="D889" s="15">
        <v>0</v>
      </c>
    </row>
    <row r="890" spans="1:4" x14ac:dyDescent="0.2">
      <c r="A890" s="12">
        <v>562</v>
      </c>
      <c r="B890" s="13">
        <v>2</v>
      </c>
      <c r="C890" s="14">
        <v>400</v>
      </c>
      <c r="D890" s="15">
        <f>167.37792-4.9-7-10.5</f>
        <v>144.97791999999998</v>
      </c>
    </row>
    <row r="891" spans="1:4" x14ac:dyDescent="0.2">
      <c r="A891" s="12">
        <v>563</v>
      </c>
      <c r="B891" s="13">
        <v>1</v>
      </c>
      <c r="C891" s="14">
        <v>400</v>
      </c>
      <c r="D891" s="15">
        <v>0</v>
      </c>
    </row>
    <row r="892" spans="1:4" x14ac:dyDescent="0.2">
      <c r="A892" s="12">
        <v>563</v>
      </c>
      <c r="B892" s="13">
        <v>2</v>
      </c>
      <c r="C892" s="14">
        <v>400</v>
      </c>
      <c r="D892" s="14" t="s">
        <v>6</v>
      </c>
    </row>
    <row r="893" spans="1:4" x14ac:dyDescent="0.2">
      <c r="A893" s="12">
        <v>564</v>
      </c>
      <c r="B893" s="13">
        <v>1</v>
      </c>
      <c r="C893" s="14">
        <v>250</v>
      </c>
      <c r="D893" s="15">
        <v>0</v>
      </c>
    </row>
    <row r="894" spans="1:4" x14ac:dyDescent="0.2">
      <c r="A894" s="12">
        <v>565</v>
      </c>
      <c r="B894" s="13">
        <v>1</v>
      </c>
      <c r="C894" s="14">
        <v>400</v>
      </c>
      <c r="D894" s="15">
        <v>177.1156575</v>
      </c>
    </row>
    <row r="895" spans="1:4" x14ac:dyDescent="0.2">
      <c r="A895" s="12">
        <v>565</v>
      </c>
      <c r="B895" s="13">
        <v>2</v>
      </c>
      <c r="C895" s="14">
        <v>400</v>
      </c>
      <c r="D895" s="15">
        <v>136.66090500000001</v>
      </c>
    </row>
    <row r="896" spans="1:4" x14ac:dyDescent="0.2">
      <c r="A896" s="12">
        <v>566</v>
      </c>
      <c r="B896" s="13">
        <v>1</v>
      </c>
      <c r="C896" s="14">
        <v>630</v>
      </c>
      <c r="D896" s="15">
        <f>240.01299-3.6-6.3</f>
        <v>230.11299</v>
      </c>
    </row>
    <row r="897" spans="1:4" x14ac:dyDescent="0.2">
      <c r="A897" s="12">
        <v>566</v>
      </c>
      <c r="B897" s="13">
        <v>2</v>
      </c>
      <c r="C897" s="14">
        <v>630</v>
      </c>
      <c r="D897" s="15">
        <f>251.0326575-6.3</f>
        <v>244.73265749999999</v>
      </c>
    </row>
    <row r="898" spans="1:4" x14ac:dyDescent="0.2">
      <c r="A898" s="12">
        <v>567</v>
      </c>
      <c r="B898" s="13">
        <v>1</v>
      </c>
      <c r="C898" s="14">
        <v>250</v>
      </c>
      <c r="D898" s="15">
        <v>108.97824</v>
      </c>
    </row>
    <row r="899" spans="1:4" x14ac:dyDescent="0.2">
      <c r="A899" s="12">
        <v>568</v>
      </c>
      <c r="B899" s="13">
        <v>1</v>
      </c>
      <c r="C899" s="14">
        <v>250</v>
      </c>
      <c r="D899" s="15">
        <v>0</v>
      </c>
    </row>
    <row r="900" spans="1:4" x14ac:dyDescent="0.2">
      <c r="A900" s="12">
        <v>569</v>
      </c>
      <c r="B900" s="13">
        <v>1</v>
      </c>
      <c r="C900" s="14">
        <v>400</v>
      </c>
      <c r="D900" s="15">
        <v>0</v>
      </c>
    </row>
    <row r="901" spans="1:4" x14ac:dyDescent="0.2">
      <c r="A901" s="12">
        <v>569</v>
      </c>
      <c r="B901" s="13">
        <v>2</v>
      </c>
      <c r="C901" s="14">
        <v>400</v>
      </c>
      <c r="D901" s="15">
        <v>160.99292249999999</v>
      </c>
    </row>
    <row r="902" spans="1:4" x14ac:dyDescent="0.2">
      <c r="A902" s="12">
        <v>570</v>
      </c>
      <c r="B902" s="13">
        <v>1</v>
      </c>
      <c r="C902" s="14">
        <v>250</v>
      </c>
      <c r="D902" s="15">
        <v>113</v>
      </c>
    </row>
    <row r="903" spans="1:4" x14ac:dyDescent="0.2">
      <c r="A903" s="12">
        <v>570</v>
      </c>
      <c r="B903" s="13">
        <v>2</v>
      </c>
      <c r="C903" s="14">
        <v>250</v>
      </c>
      <c r="D903" s="15">
        <v>60.631139999999995</v>
      </c>
    </row>
    <row r="904" spans="1:4" x14ac:dyDescent="0.2">
      <c r="A904" s="12">
        <v>571</v>
      </c>
      <c r="B904" s="13">
        <v>1</v>
      </c>
      <c r="C904" s="14">
        <v>630</v>
      </c>
      <c r="D904" s="15">
        <f>251.35314-11.18</f>
        <v>240.17313999999999</v>
      </c>
    </row>
    <row r="905" spans="1:4" x14ac:dyDescent="0.2">
      <c r="A905" s="12">
        <v>571</v>
      </c>
      <c r="B905" s="13">
        <v>2</v>
      </c>
      <c r="C905" s="14">
        <v>630</v>
      </c>
      <c r="D905" s="15">
        <v>230.84226000000001</v>
      </c>
    </row>
    <row r="906" spans="1:4" x14ac:dyDescent="0.2">
      <c r="A906" s="18">
        <v>572</v>
      </c>
      <c r="B906" s="19">
        <v>1</v>
      </c>
      <c r="C906" s="20">
        <v>250</v>
      </c>
      <c r="D906" s="15">
        <v>0</v>
      </c>
    </row>
    <row r="907" spans="1:4" x14ac:dyDescent="0.2">
      <c r="A907" s="16">
        <v>573</v>
      </c>
      <c r="B907" s="13">
        <v>1</v>
      </c>
      <c r="C907" s="17">
        <v>400</v>
      </c>
      <c r="D907" s="15">
        <f>174-24.5</f>
        <v>149.5</v>
      </c>
    </row>
    <row r="908" spans="1:4" x14ac:dyDescent="0.2">
      <c r="A908" s="16">
        <v>573</v>
      </c>
      <c r="B908" s="13">
        <v>2</v>
      </c>
      <c r="C908" s="17">
        <v>400</v>
      </c>
      <c r="D908" s="15">
        <f>169-12.53-24.5-10.5-18.9-13.65</f>
        <v>88.919999999999987</v>
      </c>
    </row>
    <row r="909" spans="1:4" x14ac:dyDescent="0.2">
      <c r="A909" s="12">
        <v>574</v>
      </c>
      <c r="B909" s="13">
        <v>1</v>
      </c>
      <c r="C909" s="14">
        <v>400</v>
      </c>
      <c r="D909" s="15">
        <v>135.69945749999999</v>
      </c>
    </row>
    <row r="910" spans="1:4" x14ac:dyDescent="0.2">
      <c r="A910" s="12">
        <v>574</v>
      </c>
      <c r="B910" s="13">
        <v>2</v>
      </c>
      <c r="C910" s="14">
        <v>400</v>
      </c>
      <c r="D910" s="15">
        <f>148.494105-42</f>
        <v>106.49410499999999</v>
      </c>
    </row>
    <row r="911" spans="1:4" x14ac:dyDescent="0.2">
      <c r="A911" s="12">
        <v>575</v>
      </c>
      <c r="B911" s="13">
        <v>1</v>
      </c>
      <c r="C911" s="14">
        <v>250</v>
      </c>
      <c r="D911" s="15">
        <v>104.068845</v>
      </c>
    </row>
    <row r="912" spans="1:4" x14ac:dyDescent="0.2">
      <c r="A912" s="12">
        <v>575</v>
      </c>
      <c r="B912" s="13">
        <v>2</v>
      </c>
      <c r="C912" s="14">
        <v>250</v>
      </c>
      <c r="D912" s="15">
        <v>98.300159999999991</v>
      </c>
    </row>
    <row r="913" spans="1:4" x14ac:dyDescent="0.2">
      <c r="A913" s="12">
        <v>576</v>
      </c>
      <c r="B913" s="13">
        <v>1</v>
      </c>
      <c r="C913" s="14">
        <v>400</v>
      </c>
      <c r="D913" s="15">
        <f>164-10.5</f>
        <v>153.5</v>
      </c>
    </row>
    <row r="914" spans="1:4" x14ac:dyDescent="0.2">
      <c r="A914" s="16">
        <v>577</v>
      </c>
      <c r="B914" s="13">
        <v>1</v>
      </c>
      <c r="C914" s="17">
        <v>630</v>
      </c>
      <c r="D914" s="15">
        <f>261-157.29-10.5</f>
        <v>93.210000000000008</v>
      </c>
    </row>
    <row r="915" spans="1:4" x14ac:dyDescent="0.2">
      <c r="A915" s="16">
        <v>577</v>
      </c>
      <c r="B915" s="13">
        <v>2</v>
      </c>
      <c r="C915" s="17">
        <v>630</v>
      </c>
      <c r="D915" s="15">
        <f>263-157.29-7</f>
        <v>98.710000000000008</v>
      </c>
    </row>
    <row r="916" spans="1:4" x14ac:dyDescent="0.2">
      <c r="A916" s="12">
        <v>578</v>
      </c>
      <c r="B916" s="13">
        <v>1</v>
      </c>
      <c r="C916" s="14">
        <v>400</v>
      </c>
      <c r="D916" s="15">
        <v>146.57121000000001</v>
      </c>
    </row>
    <row r="917" spans="1:4" x14ac:dyDescent="0.2">
      <c r="A917" s="12">
        <v>578</v>
      </c>
      <c r="B917" s="13">
        <v>2</v>
      </c>
      <c r="C917" s="14">
        <v>400</v>
      </c>
      <c r="D917" s="15">
        <f>159.9575175-6</f>
        <v>153.95751749999999</v>
      </c>
    </row>
    <row r="918" spans="1:4" x14ac:dyDescent="0.2">
      <c r="A918" s="12">
        <v>579</v>
      </c>
      <c r="B918" s="13">
        <v>1</v>
      </c>
      <c r="C918" s="14">
        <v>1000</v>
      </c>
      <c r="D918" s="14">
        <f>450-390</f>
        <v>60</v>
      </c>
    </row>
    <row r="919" spans="1:4" x14ac:dyDescent="0.2">
      <c r="A919" s="27">
        <v>579</v>
      </c>
      <c r="B919" s="28">
        <v>2</v>
      </c>
      <c r="C919" s="14">
        <v>1000</v>
      </c>
      <c r="D919" s="15">
        <v>0</v>
      </c>
    </row>
    <row r="920" spans="1:4" x14ac:dyDescent="0.2">
      <c r="A920" s="14">
        <v>580</v>
      </c>
      <c r="B920" s="29">
        <v>1</v>
      </c>
      <c r="C920" s="14">
        <v>400</v>
      </c>
      <c r="D920" s="15">
        <f>176.45004-10.5-28-3.5</f>
        <v>134.45004</v>
      </c>
    </row>
    <row r="921" spans="1:4" x14ac:dyDescent="0.2">
      <c r="A921" s="12">
        <v>580</v>
      </c>
      <c r="B921" s="13">
        <v>2</v>
      </c>
      <c r="C921" s="14">
        <v>400</v>
      </c>
      <c r="D921" s="15">
        <f>170.04039-10.5-28-21-24.5</f>
        <v>86.040390000000002</v>
      </c>
    </row>
    <row r="922" spans="1:4" x14ac:dyDescent="0.2">
      <c r="A922" s="12">
        <v>581</v>
      </c>
      <c r="B922" s="13">
        <v>1</v>
      </c>
      <c r="C922" s="14">
        <v>250</v>
      </c>
      <c r="D922" s="15">
        <f>25.82181-4.2-9-6-3-1.2</f>
        <v>2.4218099999999998</v>
      </c>
    </row>
    <row r="923" spans="1:4" x14ac:dyDescent="0.2">
      <c r="A923" s="12">
        <v>581</v>
      </c>
      <c r="B923" s="13">
        <v>2</v>
      </c>
      <c r="C923" s="14">
        <v>250</v>
      </c>
      <c r="D923" s="15">
        <v>80.648970000000006</v>
      </c>
    </row>
    <row r="924" spans="1:4" x14ac:dyDescent="0.2">
      <c r="A924" s="12">
        <v>582</v>
      </c>
      <c r="B924" s="13">
        <v>1</v>
      </c>
      <c r="C924" s="14">
        <v>400</v>
      </c>
      <c r="D924" s="15">
        <f>180-8.25-19.25</f>
        <v>152.5</v>
      </c>
    </row>
    <row r="925" spans="1:4" x14ac:dyDescent="0.2">
      <c r="A925" s="12">
        <v>582</v>
      </c>
      <c r="B925" s="13">
        <v>2</v>
      </c>
      <c r="C925" s="14">
        <v>400</v>
      </c>
      <c r="D925" s="15">
        <f>180-8.25-8.25-8.25</f>
        <v>155.25</v>
      </c>
    </row>
    <row r="926" spans="1:4" x14ac:dyDescent="0.2">
      <c r="A926" s="12">
        <v>583</v>
      </c>
      <c r="B926" s="13">
        <v>1</v>
      </c>
      <c r="C926" s="14">
        <v>400</v>
      </c>
      <c r="D926" s="15">
        <v>0</v>
      </c>
    </row>
    <row r="927" spans="1:4" x14ac:dyDescent="0.2">
      <c r="A927" s="12">
        <v>583</v>
      </c>
      <c r="B927" s="13">
        <v>2</v>
      </c>
      <c r="C927" s="14">
        <v>400</v>
      </c>
      <c r="D927" s="15">
        <f>170.977185-84-10.5</f>
        <v>76.477184999999992</v>
      </c>
    </row>
    <row r="928" spans="1:4" x14ac:dyDescent="0.2">
      <c r="A928" s="12">
        <v>584</v>
      </c>
      <c r="B928" s="13">
        <v>1</v>
      </c>
      <c r="C928" s="14">
        <v>400</v>
      </c>
      <c r="D928" s="15">
        <v>118.2454875</v>
      </c>
    </row>
    <row r="929" spans="1:4" x14ac:dyDescent="0.2">
      <c r="A929" s="12">
        <v>584</v>
      </c>
      <c r="B929" s="13">
        <v>2</v>
      </c>
      <c r="C929" s="14">
        <v>630</v>
      </c>
      <c r="D929" s="15">
        <f>222.4850625-9</f>
        <v>213.4850625</v>
      </c>
    </row>
    <row r="930" spans="1:4" x14ac:dyDescent="0.2">
      <c r="A930" s="12">
        <v>585</v>
      </c>
      <c r="B930" s="13">
        <v>1</v>
      </c>
      <c r="C930" s="14">
        <v>630</v>
      </c>
      <c r="D930" s="15">
        <f>278.6927625-5.5-8.25</f>
        <v>264.94276250000001</v>
      </c>
    </row>
    <row r="931" spans="1:4" x14ac:dyDescent="0.2">
      <c r="A931" s="12">
        <v>585</v>
      </c>
      <c r="B931" s="13">
        <v>2</v>
      </c>
      <c r="C931" s="14">
        <v>630</v>
      </c>
      <c r="D931" s="15">
        <v>246.37333500000003</v>
      </c>
    </row>
    <row r="932" spans="1:4" x14ac:dyDescent="0.2">
      <c r="A932" s="12">
        <v>586</v>
      </c>
      <c r="B932" s="13">
        <v>1</v>
      </c>
      <c r="C932" s="14">
        <v>630</v>
      </c>
      <c r="D932" s="15">
        <f>228.2537475-4.2-7</f>
        <v>217.05374750000001</v>
      </c>
    </row>
    <row r="933" spans="1:4" x14ac:dyDescent="0.2">
      <c r="A933" s="12">
        <v>586</v>
      </c>
      <c r="B933" s="13">
        <v>2</v>
      </c>
      <c r="C933" s="14">
        <v>630</v>
      </c>
      <c r="D933" s="15">
        <v>211.90914000000001</v>
      </c>
    </row>
    <row r="934" spans="1:4" x14ac:dyDescent="0.2">
      <c r="A934" s="12">
        <v>587</v>
      </c>
      <c r="B934" s="13">
        <v>1</v>
      </c>
      <c r="C934" s="14">
        <v>250</v>
      </c>
      <c r="D934" s="15">
        <f>102.2199075-7.15-7.15-48.95</f>
        <v>38.969907499999991</v>
      </c>
    </row>
    <row r="935" spans="1:4" x14ac:dyDescent="0.2">
      <c r="A935" s="12">
        <v>587</v>
      </c>
      <c r="B935" s="13">
        <v>2</v>
      </c>
      <c r="C935" s="14">
        <v>250</v>
      </c>
      <c r="D935" s="15">
        <v>0</v>
      </c>
    </row>
    <row r="936" spans="1:4" x14ac:dyDescent="0.2">
      <c r="A936" s="16">
        <v>588</v>
      </c>
      <c r="B936" s="13">
        <v>1</v>
      </c>
      <c r="C936" s="17">
        <v>250</v>
      </c>
      <c r="D936" s="15">
        <v>101.25846</v>
      </c>
    </row>
    <row r="937" spans="1:4" x14ac:dyDescent="0.2">
      <c r="A937" s="16">
        <v>588</v>
      </c>
      <c r="B937" s="13">
        <v>2</v>
      </c>
      <c r="C937" s="17">
        <v>250</v>
      </c>
      <c r="D937" s="15">
        <f>96.52518-12.6</f>
        <v>83.925180000000012</v>
      </c>
    </row>
    <row r="938" spans="1:4" x14ac:dyDescent="0.2">
      <c r="A938" s="12">
        <v>590</v>
      </c>
      <c r="B938" s="13">
        <v>1</v>
      </c>
      <c r="C938" s="14">
        <v>630</v>
      </c>
      <c r="D938" s="15">
        <f>184-18-7.5</f>
        <v>158.5</v>
      </c>
    </row>
    <row r="939" spans="1:4" x14ac:dyDescent="0.2">
      <c r="A939" s="12">
        <v>590</v>
      </c>
      <c r="B939" s="13">
        <v>2</v>
      </c>
      <c r="C939" s="14">
        <v>630</v>
      </c>
      <c r="D939" s="15">
        <f>239-14-10.5-9-3.6-3.5</f>
        <v>198.4</v>
      </c>
    </row>
    <row r="940" spans="1:4" x14ac:dyDescent="0.2">
      <c r="A940" s="12">
        <v>591</v>
      </c>
      <c r="B940" s="13">
        <v>1</v>
      </c>
      <c r="C940" s="14">
        <v>400</v>
      </c>
      <c r="D940" s="15">
        <v>180</v>
      </c>
    </row>
    <row r="941" spans="1:4" x14ac:dyDescent="0.2">
      <c r="A941" s="12">
        <v>591</v>
      </c>
      <c r="B941" s="13">
        <v>2</v>
      </c>
      <c r="C941" s="14">
        <v>400</v>
      </c>
      <c r="D941" s="15">
        <v>135.69945749999999</v>
      </c>
    </row>
    <row r="942" spans="1:4" x14ac:dyDescent="0.2">
      <c r="A942" s="12">
        <v>592</v>
      </c>
      <c r="B942" s="13">
        <v>1</v>
      </c>
      <c r="C942" s="14">
        <v>400</v>
      </c>
      <c r="D942" s="15">
        <f>173.047995-6-8.25-16.5-9-6-37.35</f>
        <v>89.947994999999992</v>
      </c>
    </row>
    <row r="943" spans="1:4" x14ac:dyDescent="0.2">
      <c r="A943" s="12">
        <v>592</v>
      </c>
      <c r="B943" s="13">
        <v>2</v>
      </c>
      <c r="C943" s="14">
        <v>400</v>
      </c>
      <c r="D943" s="15">
        <f>169.5719925-11-37.35</f>
        <v>121.2219925</v>
      </c>
    </row>
    <row r="944" spans="1:4" x14ac:dyDescent="0.2">
      <c r="A944" s="18">
        <v>593</v>
      </c>
      <c r="B944" s="19">
        <v>1</v>
      </c>
      <c r="C944" s="20">
        <v>400</v>
      </c>
      <c r="D944" s="15">
        <v>146.05350750000002</v>
      </c>
    </row>
    <row r="945" spans="1:4" x14ac:dyDescent="0.2">
      <c r="A945" s="18">
        <v>593</v>
      </c>
      <c r="B945" s="19">
        <v>2</v>
      </c>
      <c r="C945" s="20">
        <v>400</v>
      </c>
      <c r="D945" s="15">
        <v>116.84029500000001</v>
      </c>
    </row>
    <row r="946" spans="1:4" x14ac:dyDescent="0.2">
      <c r="A946" s="12">
        <v>594</v>
      </c>
      <c r="B946" s="13">
        <v>1</v>
      </c>
      <c r="C946" s="14">
        <v>400</v>
      </c>
      <c r="D946" s="15">
        <v>158.6262825</v>
      </c>
    </row>
    <row r="947" spans="1:4" x14ac:dyDescent="0.2">
      <c r="A947" s="12">
        <v>594</v>
      </c>
      <c r="B947" s="13">
        <v>2</v>
      </c>
      <c r="C947" s="14">
        <v>400</v>
      </c>
      <c r="D947" s="15">
        <v>155.29819499999999</v>
      </c>
    </row>
    <row r="948" spans="1:4" x14ac:dyDescent="0.2">
      <c r="A948" s="12">
        <v>595</v>
      </c>
      <c r="B948" s="13">
        <v>1</v>
      </c>
      <c r="C948" s="14">
        <v>630</v>
      </c>
      <c r="D948" s="15">
        <f>274.1073975-36.6</f>
        <v>237.5073975</v>
      </c>
    </row>
    <row r="949" spans="1:4" x14ac:dyDescent="0.2">
      <c r="A949" s="12">
        <v>595</v>
      </c>
      <c r="B949" s="13">
        <v>2</v>
      </c>
      <c r="C949" s="14">
        <v>630</v>
      </c>
      <c r="D949" s="15">
        <f>278.914635-36.6</f>
        <v>242.31463499999998</v>
      </c>
    </row>
    <row r="950" spans="1:4" x14ac:dyDescent="0.2">
      <c r="A950" s="16">
        <v>596</v>
      </c>
      <c r="B950" s="19">
        <v>1</v>
      </c>
      <c r="C950" s="17">
        <v>400</v>
      </c>
      <c r="D950" s="15">
        <f>153.3753-10.5-10.5-10.5</f>
        <v>121.87530000000001</v>
      </c>
    </row>
    <row r="951" spans="1:4" x14ac:dyDescent="0.2">
      <c r="A951" s="16">
        <v>596</v>
      </c>
      <c r="B951" s="19">
        <v>2</v>
      </c>
      <c r="C951" s="17">
        <v>400</v>
      </c>
      <c r="D951" s="15">
        <f>155.298195-3.5-10.5-42</f>
        <v>99.298194999999993</v>
      </c>
    </row>
    <row r="952" spans="1:4" x14ac:dyDescent="0.2">
      <c r="A952" s="18">
        <v>597</v>
      </c>
      <c r="B952" s="19">
        <v>1</v>
      </c>
      <c r="C952" s="20">
        <v>250</v>
      </c>
      <c r="D952" s="15">
        <v>101.4803325</v>
      </c>
    </row>
    <row r="953" spans="1:4" x14ac:dyDescent="0.2">
      <c r="A953" s="18">
        <v>597</v>
      </c>
      <c r="B953" s="19">
        <v>2</v>
      </c>
      <c r="C953" s="20">
        <v>250</v>
      </c>
      <c r="D953" s="15">
        <f>94.5283275-42</f>
        <v>52.528327500000003</v>
      </c>
    </row>
    <row r="954" spans="1:4" x14ac:dyDescent="0.2">
      <c r="A954" s="12">
        <v>598</v>
      </c>
      <c r="B954" s="13">
        <v>1</v>
      </c>
      <c r="C954" s="14">
        <v>400</v>
      </c>
      <c r="D954" s="15">
        <f>154.85445-10.5-73.5</f>
        <v>70.854450000000014</v>
      </c>
    </row>
    <row r="955" spans="1:4" x14ac:dyDescent="0.2">
      <c r="A955" s="12">
        <v>598</v>
      </c>
      <c r="B955" s="13">
        <v>2</v>
      </c>
      <c r="C955" s="14">
        <v>400</v>
      </c>
      <c r="D955" s="15">
        <v>129.93077250000002</v>
      </c>
    </row>
    <row r="956" spans="1:4" x14ac:dyDescent="0.2">
      <c r="A956" s="12">
        <v>599</v>
      </c>
      <c r="B956" s="13">
        <v>1</v>
      </c>
      <c r="C956" s="14">
        <v>400</v>
      </c>
      <c r="D956" s="15">
        <v>0</v>
      </c>
    </row>
    <row r="957" spans="1:4" x14ac:dyDescent="0.2">
      <c r="A957" s="12">
        <v>599</v>
      </c>
      <c r="B957" s="13">
        <v>2</v>
      </c>
      <c r="C957" s="14">
        <v>400</v>
      </c>
      <c r="D957" s="15">
        <v>0</v>
      </c>
    </row>
    <row r="958" spans="1:4" x14ac:dyDescent="0.2">
      <c r="A958" s="12">
        <v>600</v>
      </c>
      <c r="B958" s="13">
        <v>1</v>
      </c>
      <c r="C958" s="14">
        <v>250</v>
      </c>
      <c r="D958" s="15">
        <v>145.3982</v>
      </c>
    </row>
    <row r="959" spans="1:4" x14ac:dyDescent="0.2">
      <c r="A959" s="12">
        <v>601</v>
      </c>
      <c r="B959" s="13">
        <v>1</v>
      </c>
      <c r="C959" s="14">
        <v>400</v>
      </c>
      <c r="D959" s="15">
        <f>80.89695-59.5</f>
        <v>21.396950000000004</v>
      </c>
    </row>
    <row r="960" spans="1:4" x14ac:dyDescent="0.2">
      <c r="A960" s="12">
        <v>601</v>
      </c>
      <c r="B960" s="13">
        <v>2</v>
      </c>
      <c r="C960" s="14">
        <v>400</v>
      </c>
      <c r="D960" s="15">
        <f>131.87832-42</f>
        <v>89.878320000000002</v>
      </c>
    </row>
    <row r="961" spans="1:4" x14ac:dyDescent="0.2">
      <c r="A961" s="12">
        <v>602</v>
      </c>
      <c r="B961" s="13">
        <v>1</v>
      </c>
      <c r="C961" s="14">
        <v>400</v>
      </c>
      <c r="D961" s="15">
        <f>144.5004-105</f>
        <v>39.500400000000013</v>
      </c>
    </row>
    <row r="962" spans="1:4" x14ac:dyDescent="0.2">
      <c r="A962" s="12">
        <v>602</v>
      </c>
      <c r="B962" s="13">
        <v>2</v>
      </c>
      <c r="C962" s="14">
        <v>400</v>
      </c>
      <c r="D962" s="15">
        <f>150.71283-105-10.5</f>
        <v>35.212829999999997</v>
      </c>
    </row>
    <row r="963" spans="1:4" x14ac:dyDescent="0.2">
      <c r="A963" s="12">
        <v>603</v>
      </c>
      <c r="B963" s="13">
        <v>1</v>
      </c>
      <c r="C963" s="14">
        <v>630</v>
      </c>
      <c r="D963" s="15">
        <f>211.31748-35</f>
        <v>176.31747999999999</v>
      </c>
    </row>
    <row r="964" spans="1:4" x14ac:dyDescent="0.2">
      <c r="A964" s="12">
        <v>603</v>
      </c>
      <c r="B964" s="13">
        <v>2</v>
      </c>
      <c r="C964" s="14">
        <v>630</v>
      </c>
      <c r="D964" s="15">
        <v>215.75493</v>
      </c>
    </row>
    <row r="965" spans="1:4" x14ac:dyDescent="0.2">
      <c r="A965" s="12">
        <v>604</v>
      </c>
      <c r="B965" s="13">
        <v>1</v>
      </c>
      <c r="C965" s="14">
        <v>400</v>
      </c>
      <c r="D965" s="15">
        <f>102.88698-10.5-11.9-10.5-1.2-10.5-6</f>
        <v>52.286979999999986</v>
      </c>
    </row>
    <row r="966" spans="1:4" x14ac:dyDescent="0.2">
      <c r="A966" s="12">
        <v>604</v>
      </c>
      <c r="B966" s="13">
        <v>2</v>
      </c>
      <c r="C966" s="14">
        <v>400</v>
      </c>
      <c r="D966" s="15">
        <f>112.25493-10.5</f>
        <v>101.75493</v>
      </c>
    </row>
    <row r="967" spans="1:4" x14ac:dyDescent="0.2">
      <c r="A967" s="12">
        <v>605</v>
      </c>
      <c r="B967" s="13">
        <v>1</v>
      </c>
      <c r="C967" s="14">
        <v>400</v>
      </c>
      <c r="D967" s="15">
        <f>134.14635-4.2</f>
        <v>129.94635000000002</v>
      </c>
    </row>
    <row r="968" spans="1:4" x14ac:dyDescent="0.2">
      <c r="A968" s="12">
        <v>605</v>
      </c>
      <c r="B968" s="13">
        <v>2</v>
      </c>
      <c r="C968" s="14">
        <v>400</v>
      </c>
      <c r="D968" s="15">
        <v>173.29452000000001</v>
      </c>
    </row>
    <row r="969" spans="1:4" x14ac:dyDescent="0.2">
      <c r="A969" s="12">
        <v>606</v>
      </c>
      <c r="B969" s="13">
        <v>1</v>
      </c>
      <c r="C969" s="14">
        <v>250</v>
      </c>
      <c r="D969" s="15">
        <v>0</v>
      </c>
    </row>
    <row r="970" spans="1:4" x14ac:dyDescent="0.2">
      <c r="A970" s="12">
        <v>606</v>
      </c>
      <c r="B970" s="13">
        <v>2</v>
      </c>
      <c r="C970" s="14">
        <v>250</v>
      </c>
      <c r="D970" s="15">
        <v>0</v>
      </c>
    </row>
    <row r="971" spans="1:4" x14ac:dyDescent="0.2">
      <c r="A971" s="12">
        <v>607</v>
      </c>
      <c r="B971" s="13">
        <v>1</v>
      </c>
      <c r="C971" s="14">
        <v>400</v>
      </c>
      <c r="D971" s="15">
        <v>165.30710999999999</v>
      </c>
    </row>
    <row r="972" spans="1:4" x14ac:dyDescent="0.2">
      <c r="A972" s="12">
        <v>607</v>
      </c>
      <c r="B972" s="13">
        <v>2</v>
      </c>
      <c r="C972" s="14">
        <v>320</v>
      </c>
      <c r="D972" s="15">
        <v>60.773160000000004</v>
      </c>
    </row>
    <row r="973" spans="1:4" x14ac:dyDescent="0.2">
      <c r="A973" s="12">
        <v>608</v>
      </c>
      <c r="B973" s="13">
        <v>1</v>
      </c>
      <c r="C973" s="14">
        <v>250</v>
      </c>
      <c r="D973" s="15">
        <f>73.45044-0.6-8.4</f>
        <v>64.45044</v>
      </c>
    </row>
    <row r="974" spans="1:4" x14ac:dyDescent="0.2">
      <c r="A974" s="12">
        <v>608</v>
      </c>
      <c r="B974" s="13">
        <v>2</v>
      </c>
      <c r="C974" s="14">
        <v>250</v>
      </c>
      <c r="D974" s="15">
        <v>60.236699999999999</v>
      </c>
    </row>
    <row r="975" spans="1:4" x14ac:dyDescent="0.2">
      <c r="A975" s="12">
        <v>609</v>
      </c>
      <c r="B975" s="13">
        <v>1</v>
      </c>
      <c r="C975" s="14">
        <v>400</v>
      </c>
      <c r="D975" s="15">
        <f>132.17415-4.8-1.8</f>
        <v>125.57415</v>
      </c>
    </row>
    <row r="976" spans="1:4" x14ac:dyDescent="0.2">
      <c r="A976" s="12">
        <v>609</v>
      </c>
      <c r="B976" s="13">
        <v>2</v>
      </c>
      <c r="C976" s="14">
        <v>400</v>
      </c>
      <c r="D976" s="15">
        <f>126.7506-9.2</f>
        <v>117.5506</v>
      </c>
    </row>
    <row r="977" spans="1:4" x14ac:dyDescent="0.2">
      <c r="A977" s="12">
        <v>610</v>
      </c>
      <c r="B977" s="13">
        <v>1</v>
      </c>
      <c r="C977" s="14">
        <v>400</v>
      </c>
      <c r="D977" s="15">
        <v>0</v>
      </c>
    </row>
    <row r="978" spans="1:4" x14ac:dyDescent="0.2">
      <c r="A978" s="12">
        <v>610</v>
      </c>
      <c r="B978" s="13">
        <v>2</v>
      </c>
      <c r="C978" s="14">
        <v>400</v>
      </c>
      <c r="D978" s="15">
        <v>0</v>
      </c>
    </row>
    <row r="979" spans="1:4" x14ac:dyDescent="0.2">
      <c r="A979" s="12">
        <v>611</v>
      </c>
      <c r="B979" s="13">
        <v>1</v>
      </c>
      <c r="C979" s="14">
        <v>250</v>
      </c>
      <c r="D979" s="15">
        <f>79.9587-21</f>
        <v>58.958699999999993</v>
      </c>
    </row>
    <row r="980" spans="1:4" x14ac:dyDescent="0.2">
      <c r="A980" s="12">
        <v>611</v>
      </c>
      <c r="B980" s="13">
        <v>2</v>
      </c>
      <c r="C980" s="14">
        <v>400</v>
      </c>
      <c r="D980" s="15">
        <f>137-69</f>
        <v>68</v>
      </c>
    </row>
    <row r="981" spans="1:4" x14ac:dyDescent="0.2">
      <c r="A981" s="18">
        <v>612</v>
      </c>
      <c r="B981" s="19">
        <v>1</v>
      </c>
      <c r="C981" s="20">
        <v>400</v>
      </c>
      <c r="D981" s="15">
        <f>121.277745-9-3-9-12</f>
        <v>88.277744999999996</v>
      </c>
    </row>
    <row r="982" spans="1:4" x14ac:dyDescent="0.2">
      <c r="A982" s="18">
        <v>612</v>
      </c>
      <c r="B982" s="19">
        <v>2</v>
      </c>
      <c r="C982" s="20">
        <v>400</v>
      </c>
      <c r="D982" s="15">
        <v>179.55625499999999</v>
      </c>
    </row>
    <row r="983" spans="1:4" x14ac:dyDescent="0.2">
      <c r="A983" s="12">
        <v>613</v>
      </c>
      <c r="B983" s="13">
        <v>1</v>
      </c>
      <c r="C983" s="14">
        <v>630</v>
      </c>
      <c r="D983" s="15">
        <f>181.24143-4.2</f>
        <v>177.04143000000002</v>
      </c>
    </row>
    <row r="984" spans="1:4" x14ac:dyDescent="0.2">
      <c r="A984" s="12">
        <v>613</v>
      </c>
      <c r="B984" s="13">
        <v>2</v>
      </c>
      <c r="C984" s="14">
        <v>630</v>
      </c>
      <c r="D984" s="15">
        <f>271.6668-7</f>
        <v>264.66680000000002</v>
      </c>
    </row>
    <row r="985" spans="1:4" x14ac:dyDescent="0.2">
      <c r="A985" s="12">
        <v>614</v>
      </c>
      <c r="B985" s="13">
        <v>1</v>
      </c>
      <c r="C985" s="14">
        <v>250</v>
      </c>
      <c r="D985" s="15">
        <f>67.53384-3</f>
        <v>64.533839999999998</v>
      </c>
    </row>
    <row r="986" spans="1:4" x14ac:dyDescent="0.2">
      <c r="A986" s="12">
        <v>614</v>
      </c>
      <c r="B986" s="13">
        <v>2</v>
      </c>
      <c r="C986" s="14">
        <v>250</v>
      </c>
      <c r="D986" s="15">
        <v>88.24194</v>
      </c>
    </row>
    <row r="987" spans="1:4" x14ac:dyDescent="0.2">
      <c r="A987" s="12">
        <v>615</v>
      </c>
      <c r="B987" s="13">
        <v>1</v>
      </c>
      <c r="C987" s="14">
        <v>400</v>
      </c>
      <c r="D987" s="15">
        <f>110.28273-17.5</f>
        <v>92.782730000000001</v>
      </c>
    </row>
    <row r="988" spans="1:4" x14ac:dyDescent="0.2">
      <c r="A988" s="12">
        <v>615</v>
      </c>
      <c r="B988" s="13">
        <v>2</v>
      </c>
      <c r="C988" s="14">
        <v>400</v>
      </c>
      <c r="D988" s="15">
        <f>154.65723-10.5-24</f>
        <v>120.15723</v>
      </c>
    </row>
    <row r="989" spans="1:4" x14ac:dyDescent="0.2">
      <c r="A989" s="12">
        <v>616</v>
      </c>
      <c r="B989" s="13">
        <v>1</v>
      </c>
      <c r="C989" s="14">
        <v>400</v>
      </c>
      <c r="D989" s="15">
        <v>0</v>
      </c>
    </row>
    <row r="990" spans="1:4" x14ac:dyDescent="0.2">
      <c r="A990" s="12">
        <v>618</v>
      </c>
      <c r="B990" s="13">
        <v>1</v>
      </c>
      <c r="C990" s="14">
        <v>250</v>
      </c>
      <c r="D990" s="15">
        <v>51.411104999999992</v>
      </c>
    </row>
    <row r="991" spans="1:4" x14ac:dyDescent="0.2">
      <c r="A991" s="12">
        <v>618</v>
      </c>
      <c r="B991" s="13">
        <v>2</v>
      </c>
      <c r="C991" s="14">
        <v>250</v>
      </c>
      <c r="D991" s="15">
        <v>98.522032499999995</v>
      </c>
    </row>
    <row r="992" spans="1:4" x14ac:dyDescent="0.2">
      <c r="A992" s="12">
        <v>619</v>
      </c>
      <c r="B992" s="13">
        <v>1</v>
      </c>
      <c r="C992" s="14">
        <v>400</v>
      </c>
      <c r="D992" s="15">
        <f>120.094425-18</f>
        <v>102.094425</v>
      </c>
    </row>
    <row r="993" spans="1:4" x14ac:dyDescent="0.2">
      <c r="A993" s="12">
        <v>619</v>
      </c>
      <c r="B993" s="13">
        <v>2</v>
      </c>
      <c r="C993" s="14">
        <v>400</v>
      </c>
      <c r="D993" s="15">
        <f>139.619205-10.5-4.55-3-8.25-9</f>
        <v>104.319205</v>
      </c>
    </row>
    <row r="994" spans="1:4" x14ac:dyDescent="0.2">
      <c r="A994" s="18">
        <v>620</v>
      </c>
      <c r="B994" s="19">
        <v>1</v>
      </c>
      <c r="C994" s="20">
        <v>400</v>
      </c>
      <c r="D994" s="15">
        <f>215.15028-31.5</f>
        <v>183.65028000000001</v>
      </c>
    </row>
    <row r="995" spans="1:4" x14ac:dyDescent="0.2">
      <c r="A995" s="18">
        <v>621</v>
      </c>
      <c r="B995" s="19">
        <v>1</v>
      </c>
      <c r="C995" s="20">
        <v>630</v>
      </c>
      <c r="D995" s="15">
        <f>336.48519-15-3.6-6</f>
        <v>311.88518999999997</v>
      </c>
    </row>
    <row r="996" spans="1:4" x14ac:dyDescent="0.2">
      <c r="A996" s="12">
        <v>622</v>
      </c>
      <c r="B996" s="13">
        <v>1</v>
      </c>
      <c r="C996" s="14">
        <v>400</v>
      </c>
      <c r="D996" s="15">
        <f>152.339895-9-60-10.5-3</f>
        <v>69.839895000000013</v>
      </c>
    </row>
    <row r="997" spans="1:4" x14ac:dyDescent="0.2">
      <c r="A997" s="12">
        <v>622</v>
      </c>
      <c r="B997" s="13">
        <v>2</v>
      </c>
      <c r="C997" s="14">
        <v>400</v>
      </c>
      <c r="D997" s="15">
        <v>148.78993499999999</v>
      </c>
    </row>
    <row r="998" spans="1:4" x14ac:dyDescent="0.2">
      <c r="A998" s="18">
        <v>623</v>
      </c>
      <c r="B998" s="19">
        <v>1</v>
      </c>
      <c r="C998" s="20">
        <v>630</v>
      </c>
      <c r="D998" s="15">
        <f>230.4724725-9.8-7-14.91-21</f>
        <v>177.7624725</v>
      </c>
    </row>
    <row r="999" spans="1:4" x14ac:dyDescent="0.2">
      <c r="A999" s="18">
        <v>623</v>
      </c>
      <c r="B999" s="19">
        <v>2</v>
      </c>
      <c r="C999" s="20">
        <v>630</v>
      </c>
      <c r="D999" s="15">
        <f>272.25846-10.5-7-1.65-33.6</f>
        <v>219.50846000000001</v>
      </c>
    </row>
    <row r="1000" spans="1:4" x14ac:dyDescent="0.2">
      <c r="A1000" s="18">
        <v>624</v>
      </c>
      <c r="B1000" s="19">
        <v>1</v>
      </c>
      <c r="C1000" s="20">
        <v>630</v>
      </c>
      <c r="D1000" s="15">
        <f>277.5834-5.5</f>
        <v>272.08339999999998</v>
      </c>
    </row>
    <row r="1001" spans="1:4" x14ac:dyDescent="0.2">
      <c r="A1001" s="18">
        <v>624</v>
      </c>
      <c r="B1001" s="19">
        <v>2</v>
      </c>
      <c r="C1001" s="20">
        <v>630</v>
      </c>
      <c r="D1001" s="15">
        <v>244.45044000000001</v>
      </c>
    </row>
    <row r="1002" spans="1:4" x14ac:dyDescent="0.2">
      <c r="A1002" s="16">
        <v>625</v>
      </c>
      <c r="B1002" s="19">
        <v>1</v>
      </c>
      <c r="C1002" s="17">
        <v>400</v>
      </c>
      <c r="D1002" s="15">
        <f>164.173095-70-16</f>
        <v>78.173094999999989</v>
      </c>
    </row>
    <row r="1003" spans="1:4" x14ac:dyDescent="0.2">
      <c r="A1003" s="16">
        <v>625</v>
      </c>
      <c r="B1003" s="19">
        <v>2</v>
      </c>
      <c r="C1003" s="17">
        <v>400</v>
      </c>
      <c r="D1003" s="15">
        <f>176.6719125-35-4.8-28</f>
        <v>108.87191249999998</v>
      </c>
    </row>
    <row r="1004" spans="1:4" x14ac:dyDescent="0.2">
      <c r="A1004" s="18">
        <v>626</v>
      </c>
      <c r="B1004" s="19">
        <v>1</v>
      </c>
      <c r="C1004" s="20">
        <v>400</v>
      </c>
      <c r="D1004" s="15">
        <f>128.52558</f>
        <v>128.52557999999999</v>
      </c>
    </row>
    <row r="1005" spans="1:4" x14ac:dyDescent="0.2">
      <c r="A1005" s="18">
        <v>626</v>
      </c>
      <c r="B1005" s="19">
        <v>2</v>
      </c>
      <c r="C1005" s="20">
        <v>400</v>
      </c>
      <c r="D1005" s="15">
        <v>177.1156575</v>
      </c>
    </row>
    <row r="1006" spans="1:4" x14ac:dyDescent="0.2">
      <c r="A1006" s="12">
        <v>627</v>
      </c>
      <c r="B1006" s="13">
        <v>1</v>
      </c>
      <c r="C1006" s="14">
        <v>400</v>
      </c>
      <c r="D1006" s="15">
        <f>143.02125-10.5-2.1-3-10.5</f>
        <v>116.92125000000001</v>
      </c>
    </row>
    <row r="1007" spans="1:4" x14ac:dyDescent="0.2">
      <c r="A1007" s="12">
        <v>627</v>
      </c>
      <c r="B1007" s="13">
        <v>2</v>
      </c>
      <c r="C1007" s="14">
        <v>400</v>
      </c>
      <c r="D1007" s="15">
        <f>168.1668-10.5-2.1-3</f>
        <v>152.5668</v>
      </c>
    </row>
    <row r="1008" spans="1:4" x14ac:dyDescent="0.2">
      <c r="A1008" s="12">
        <v>629</v>
      </c>
      <c r="B1008" s="13">
        <v>1</v>
      </c>
      <c r="C1008" s="14">
        <v>400</v>
      </c>
      <c r="D1008" s="15">
        <v>138.80567249999999</v>
      </c>
    </row>
    <row r="1009" spans="1:4" x14ac:dyDescent="0.2">
      <c r="A1009" s="12">
        <v>629</v>
      </c>
      <c r="B1009" s="13">
        <v>2</v>
      </c>
      <c r="C1009" s="14">
        <v>400</v>
      </c>
      <c r="D1009" s="15">
        <v>143.02125000000001</v>
      </c>
    </row>
    <row r="1010" spans="1:4" x14ac:dyDescent="0.2">
      <c r="A1010" s="12">
        <v>630</v>
      </c>
      <c r="B1010" s="13">
        <v>1</v>
      </c>
      <c r="C1010" s="14">
        <v>400</v>
      </c>
      <c r="D1010" s="15">
        <v>165.65224500000002</v>
      </c>
    </row>
    <row r="1011" spans="1:4" x14ac:dyDescent="0.2">
      <c r="A1011" s="12">
        <v>630</v>
      </c>
      <c r="B1011" s="13">
        <v>2</v>
      </c>
      <c r="C1011" s="14">
        <v>400</v>
      </c>
      <c r="D1011" s="15">
        <v>153.37530000000001</v>
      </c>
    </row>
    <row r="1012" spans="1:4" x14ac:dyDescent="0.2">
      <c r="A1012" s="12">
        <v>631</v>
      </c>
      <c r="B1012" s="13">
        <v>1</v>
      </c>
      <c r="C1012" s="14">
        <v>630</v>
      </c>
      <c r="D1012" s="15">
        <f>245-9</f>
        <v>236</v>
      </c>
    </row>
    <row r="1013" spans="1:4" x14ac:dyDescent="0.2">
      <c r="A1013" s="12">
        <v>631</v>
      </c>
      <c r="B1013" s="13">
        <v>2</v>
      </c>
      <c r="C1013" s="14">
        <v>630</v>
      </c>
      <c r="D1013" s="15">
        <v>264</v>
      </c>
    </row>
    <row r="1014" spans="1:4" x14ac:dyDescent="0.2">
      <c r="A1014" s="12">
        <v>632</v>
      </c>
      <c r="B1014" s="13">
        <v>1</v>
      </c>
      <c r="C1014" s="14">
        <v>250</v>
      </c>
      <c r="D1014" s="15">
        <f>91.49607-4.2</f>
        <v>87.29607</v>
      </c>
    </row>
    <row r="1015" spans="1:4" x14ac:dyDescent="0.2">
      <c r="A1015" s="12">
        <v>632</v>
      </c>
      <c r="B1015" s="13">
        <v>2</v>
      </c>
      <c r="C1015" s="14">
        <v>250</v>
      </c>
      <c r="D1015" s="15">
        <v>105.40008</v>
      </c>
    </row>
    <row r="1016" spans="1:4" x14ac:dyDescent="0.2">
      <c r="A1016" s="12">
        <v>633</v>
      </c>
      <c r="B1016" s="13">
        <v>1</v>
      </c>
      <c r="C1016" s="14">
        <v>400</v>
      </c>
      <c r="D1016" s="15">
        <f>131.18805-16.8-9-0.5-12-31.5</f>
        <v>61.388050000000007</v>
      </c>
    </row>
    <row r="1017" spans="1:4" x14ac:dyDescent="0.2">
      <c r="A1017" s="12">
        <v>633</v>
      </c>
      <c r="B1017" s="13">
        <v>2</v>
      </c>
      <c r="C1017" s="14">
        <v>400</v>
      </c>
      <c r="D1017" s="15">
        <f>115.2871875-4.8-31.5</f>
        <v>78.987187500000005</v>
      </c>
    </row>
    <row r="1018" spans="1:4" x14ac:dyDescent="0.2">
      <c r="A1018" s="18">
        <v>634</v>
      </c>
      <c r="B1018" s="19">
        <v>1</v>
      </c>
      <c r="C1018" s="20">
        <v>250</v>
      </c>
      <c r="D1018" s="15">
        <f>100.39917-6-9-9-9</f>
        <v>67.399169999999998</v>
      </c>
    </row>
    <row r="1019" spans="1:4" x14ac:dyDescent="0.2">
      <c r="A1019" s="18">
        <v>635</v>
      </c>
      <c r="B1019" s="19">
        <v>1</v>
      </c>
      <c r="C1019" s="20">
        <v>400</v>
      </c>
      <c r="D1019" s="15">
        <f>159.3658575-42</f>
        <v>117.3658575</v>
      </c>
    </row>
    <row r="1020" spans="1:4" x14ac:dyDescent="0.2">
      <c r="A1020" s="18">
        <v>635</v>
      </c>
      <c r="B1020" s="19">
        <v>2</v>
      </c>
      <c r="C1020" s="20">
        <v>400</v>
      </c>
      <c r="D1020" s="15">
        <f>179.852085-9</f>
        <v>170.85208499999999</v>
      </c>
    </row>
    <row r="1021" spans="1:4" x14ac:dyDescent="0.2">
      <c r="A1021" s="18">
        <v>637</v>
      </c>
      <c r="B1021" s="19">
        <v>1</v>
      </c>
      <c r="C1021" s="20">
        <v>630</v>
      </c>
      <c r="D1021" s="15">
        <v>274.2553125</v>
      </c>
    </row>
    <row r="1022" spans="1:4" x14ac:dyDescent="0.2">
      <c r="A1022" s="18">
        <v>637</v>
      </c>
      <c r="B1022" s="19">
        <v>2</v>
      </c>
      <c r="C1022" s="20">
        <v>630</v>
      </c>
      <c r="D1022" s="15">
        <v>263.82730500000002</v>
      </c>
    </row>
    <row r="1023" spans="1:4" x14ac:dyDescent="0.2">
      <c r="A1023" s="12">
        <v>638</v>
      </c>
      <c r="B1023" s="13">
        <v>1</v>
      </c>
      <c r="C1023" s="14">
        <v>400</v>
      </c>
      <c r="D1023" s="15">
        <f>214-73.5</f>
        <v>140.5</v>
      </c>
    </row>
    <row r="1024" spans="1:4" x14ac:dyDescent="0.2">
      <c r="A1024" s="12">
        <v>638</v>
      </c>
      <c r="B1024" s="13">
        <v>2</v>
      </c>
      <c r="C1024" s="14">
        <v>400</v>
      </c>
      <c r="D1024" s="15">
        <f>192-73.5</f>
        <v>118.5</v>
      </c>
    </row>
    <row r="1025" spans="1:4" x14ac:dyDescent="0.2">
      <c r="A1025" s="30">
        <v>639</v>
      </c>
      <c r="B1025" s="31">
        <v>1</v>
      </c>
      <c r="C1025" s="32">
        <v>250</v>
      </c>
      <c r="D1025" s="15">
        <v>0</v>
      </c>
    </row>
    <row r="1026" spans="1:4" x14ac:dyDescent="0.2">
      <c r="A1026" s="12">
        <v>640</v>
      </c>
      <c r="B1026" s="13">
        <v>1</v>
      </c>
      <c r="C1026" s="14">
        <v>400</v>
      </c>
      <c r="D1026" s="15">
        <v>152.73015000000001</v>
      </c>
    </row>
    <row r="1027" spans="1:4" x14ac:dyDescent="0.2">
      <c r="A1027" s="18">
        <v>641</v>
      </c>
      <c r="B1027" s="19">
        <v>1</v>
      </c>
      <c r="C1027" s="20">
        <v>250</v>
      </c>
      <c r="D1027" s="15">
        <f>144.47784-7</f>
        <v>137.47783999999999</v>
      </c>
    </row>
    <row r="1028" spans="1:4" x14ac:dyDescent="0.2">
      <c r="A1028" s="12">
        <v>642</v>
      </c>
      <c r="B1028" s="13">
        <v>1</v>
      </c>
      <c r="C1028" s="14">
        <v>400</v>
      </c>
      <c r="D1028" s="15">
        <v>115.2871875</v>
      </c>
    </row>
    <row r="1029" spans="1:4" x14ac:dyDescent="0.2">
      <c r="A1029" s="12">
        <v>642</v>
      </c>
      <c r="B1029" s="13">
        <v>2</v>
      </c>
      <c r="C1029" s="14">
        <v>400</v>
      </c>
      <c r="D1029" s="15">
        <f>132.4453275-8.25</f>
        <v>124.19532749999999</v>
      </c>
    </row>
    <row r="1030" spans="1:4" x14ac:dyDescent="0.2">
      <c r="A1030" s="18">
        <v>643</v>
      </c>
      <c r="B1030" s="19">
        <v>1</v>
      </c>
      <c r="C1030" s="20">
        <v>400</v>
      </c>
      <c r="D1030" s="15">
        <v>147.16287</v>
      </c>
    </row>
    <row r="1031" spans="1:4" x14ac:dyDescent="0.2">
      <c r="A1031" s="18">
        <v>643</v>
      </c>
      <c r="B1031" s="19">
        <v>2</v>
      </c>
      <c r="C1031" s="20">
        <v>400</v>
      </c>
      <c r="D1031" s="15">
        <f>105.0810525-13.5</f>
        <v>91.581052499999998</v>
      </c>
    </row>
    <row r="1032" spans="1:4" x14ac:dyDescent="0.2">
      <c r="A1032" s="18">
        <v>644</v>
      </c>
      <c r="B1032" s="19">
        <v>1</v>
      </c>
      <c r="C1032" s="20">
        <v>630</v>
      </c>
      <c r="D1032" s="15">
        <f>261.756495-45</f>
        <v>216.75649499999997</v>
      </c>
    </row>
    <row r="1033" spans="1:4" x14ac:dyDescent="0.2">
      <c r="A1033" s="18">
        <v>644</v>
      </c>
      <c r="B1033" s="19">
        <v>2</v>
      </c>
      <c r="C1033" s="20">
        <v>400</v>
      </c>
      <c r="D1033" s="15">
        <f>141.0243975-9.6</f>
        <v>131.4243975</v>
      </c>
    </row>
    <row r="1034" spans="1:4" x14ac:dyDescent="0.2">
      <c r="A1034" s="18">
        <v>645</v>
      </c>
      <c r="B1034" s="19">
        <v>1</v>
      </c>
      <c r="C1034" s="20">
        <v>400</v>
      </c>
      <c r="D1034" s="15">
        <f>148.93785-13.2</f>
        <v>135.73785000000001</v>
      </c>
    </row>
    <row r="1035" spans="1:4" x14ac:dyDescent="0.2">
      <c r="A1035" s="18">
        <v>645</v>
      </c>
      <c r="B1035" s="19">
        <v>2</v>
      </c>
      <c r="C1035" s="20">
        <v>400</v>
      </c>
      <c r="D1035" s="15">
        <v>110.25807750000001</v>
      </c>
    </row>
    <row r="1036" spans="1:4" x14ac:dyDescent="0.2">
      <c r="A1036" s="18">
        <v>646</v>
      </c>
      <c r="B1036" s="19">
        <v>1</v>
      </c>
      <c r="C1036" s="20">
        <v>400</v>
      </c>
      <c r="D1036" s="15">
        <f>179.9260425-72</f>
        <v>107.92604249999999</v>
      </c>
    </row>
    <row r="1037" spans="1:4" x14ac:dyDescent="0.2">
      <c r="A1037" s="18">
        <v>646</v>
      </c>
      <c r="B1037" s="19">
        <v>2</v>
      </c>
      <c r="C1037" s="20">
        <v>400</v>
      </c>
      <c r="D1037" s="15">
        <f>161.806455-72</f>
        <v>89.806455</v>
      </c>
    </row>
    <row r="1038" spans="1:4" x14ac:dyDescent="0.2">
      <c r="A1038" s="18">
        <v>647</v>
      </c>
      <c r="B1038" s="19">
        <v>1</v>
      </c>
      <c r="C1038" s="20">
        <v>630</v>
      </c>
      <c r="D1038" s="15">
        <f>253.1034675-21-35.42-10.5</f>
        <v>186.18346750000001</v>
      </c>
    </row>
    <row r="1039" spans="1:4" x14ac:dyDescent="0.2">
      <c r="A1039" s="18">
        <v>647</v>
      </c>
      <c r="B1039" s="19">
        <v>2</v>
      </c>
      <c r="C1039" s="20">
        <v>630</v>
      </c>
      <c r="D1039" s="15">
        <v>233.06098500000002</v>
      </c>
    </row>
    <row r="1040" spans="1:4" x14ac:dyDescent="0.2">
      <c r="A1040" s="18">
        <v>648</v>
      </c>
      <c r="B1040" s="19">
        <v>1</v>
      </c>
      <c r="C1040" s="20">
        <v>400</v>
      </c>
      <c r="D1040" s="15">
        <v>164.09913750000001</v>
      </c>
    </row>
    <row r="1041" spans="1:4" x14ac:dyDescent="0.2">
      <c r="A1041" s="18">
        <v>648</v>
      </c>
      <c r="B1041" s="19">
        <v>2</v>
      </c>
      <c r="C1041" s="20">
        <v>400</v>
      </c>
      <c r="D1041" s="15">
        <v>138.80567249999999</v>
      </c>
    </row>
    <row r="1042" spans="1:4" x14ac:dyDescent="0.2">
      <c r="A1042" s="18">
        <v>649</v>
      </c>
      <c r="B1042" s="19">
        <v>1</v>
      </c>
      <c r="C1042" s="20">
        <v>250</v>
      </c>
      <c r="D1042" s="15">
        <f>115.38789-9-21-8.4</f>
        <v>76.987889999999993</v>
      </c>
    </row>
    <row r="1043" spans="1:4" x14ac:dyDescent="0.2">
      <c r="A1043" s="18">
        <v>650</v>
      </c>
      <c r="B1043" s="19">
        <v>1</v>
      </c>
      <c r="C1043" s="20">
        <v>1000</v>
      </c>
      <c r="D1043" s="15">
        <f>434.468925-3-25.8</f>
        <v>405.668925</v>
      </c>
    </row>
    <row r="1044" spans="1:4" x14ac:dyDescent="0.2">
      <c r="A1044" s="18">
        <v>650</v>
      </c>
      <c r="B1044" s="19">
        <v>2</v>
      </c>
      <c r="C1044" s="20">
        <v>1000</v>
      </c>
      <c r="D1044" s="15">
        <f>369.53424-9</f>
        <v>360.53424000000001</v>
      </c>
    </row>
    <row r="1045" spans="1:4" x14ac:dyDescent="0.2">
      <c r="A1045" s="12">
        <v>651</v>
      </c>
      <c r="B1045" s="13">
        <v>1</v>
      </c>
      <c r="C1045" s="14">
        <v>630</v>
      </c>
      <c r="D1045" s="15">
        <f>226.848555-90-36</f>
        <v>100.848555</v>
      </c>
    </row>
    <row r="1046" spans="1:4" x14ac:dyDescent="0.2">
      <c r="A1046" s="12">
        <v>651</v>
      </c>
      <c r="B1046" s="13">
        <v>2</v>
      </c>
      <c r="C1046" s="14">
        <v>630</v>
      </c>
      <c r="D1046" s="15">
        <f>269.2262025-90-9</f>
        <v>170.2262025</v>
      </c>
    </row>
    <row r="1047" spans="1:4" x14ac:dyDescent="0.2">
      <c r="A1047" s="18">
        <v>652</v>
      </c>
      <c r="B1047" s="19">
        <v>1</v>
      </c>
      <c r="C1047" s="20">
        <v>250</v>
      </c>
      <c r="D1047" s="15">
        <v>83</v>
      </c>
    </row>
    <row r="1048" spans="1:4" x14ac:dyDescent="0.2">
      <c r="A1048" s="18">
        <v>652</v>
      </c>
      <c r="B1048" s="19">
        <v>2</v>
      </c>
      <c r="C1048" s="20">
        <v>160</v>
      </c>
      <c r="D1048" s="15">
        <v>72</v>
      </c>
    </row>
    <row r="1049" spans="1:4" x14ac:dyDescent="0.2">
      <c r="A1049" s="18">
        <v>653</v>
      </c>
      <c r="B1049" s="19">
        <v>1</v>
      </c>
      <c r="C1049" s="20">
        <v>250</v>
      </c>
      <c r="D1049" s="15">
        <f>71.4535875-0.54-3</f>
        <v>67.913587499999991</v>
      </c>
    </row>
    <row r="1050" spans="1:4" x14ac:dyDescent="0.2">
      <c r="A1050" s="18">
        <v>653</v>
      </c>
      <c r="B1050" s="19">
        <v>2</v>
      </c>
      <c r="C1050" s="20">
        <v>250</v>
      </c>
      <c r="D1050" s="15">
        <f>98.743905-6-6-3</f>
        <v>83.743904999999998</v>
      </c>
    </row>
    <row r="1051" spans="1:4" x14ac:dyDescent="0.2">
      <c r="A1051" s="18">
        <v>654</v>
      </c>
      <c r="B1051" s="19">
        <v>1</v>
      </c>
      <c r="C1051" s="20">
        <v>400</v>
      </c>
      <c r="D1051" s="15">
        <f>240-147</f>
        <v>93</v>
      </c>
    </row>
    <row r="1052" spans="1:4" x14ac:dyDescent="0.2">
      <c r="A1052" s="12">
        <v>655</v>
      </c>
      <c r="B1052" s="13">
        <v>1</v>
      </c>
      <c r="C1052" s="14">
        <v>400</v>
      </c>
      <c r="D1052" s="15">
        <f>180-23.8</f>
        <v>156.19999999999999</v>
      </c>
    </row>
    <row r="1053" spans="1:4" x14ac:dyDescent="0.2">
      <c r="A1053" s="12">
        <v>656</v>
      </c>
      <c r="B1053" s="13">
        <v>1</v>
      </c>
      <c r="C1053" s="20">
        <v>250</v>
      </c>
      <c r="D1053" s="15">
        <v>0</v>
      </c>
    </row>
    <row r="1054" spans="1:4" x14ac:dyDescent="0.2">
      <c r="A1054" s="12">
        <v>656</v>
      </c>
      <c r="B1054" s="13">
        <v>2</v>
      </c>
      <c r="C1054" s="20">
        <v>250</v>
      </c>
      <c r="D1054" s="15">
        <f>113-12-5.6</f>
        <v>95.4</v>
      </c>
    </row>
    <row r="1055" spans="1:4" x14ac:dyDescent="0.2">
      <c r="A1055" s="12">
        <v>657</v>
      </c>
      <c r="B1055" s="13">
        <v>1</v>
      </c>
      <c r="C1055" s="14">
        <v>250</v>
      </c>
      <c r="D1055" s="15">
        <v>0</v>
      </c>
    </row>
    <row r="1056" spans="1:4" x14ac:dyDescent="0.2">
      <c r="A1056" s="12">
        <v>658</v>
      </c>
      <c r="B1056" s="13">
        <v>1</v>
      </c>
      <c r="C1056" s="14">
        <v>400</v>
      </c>
      <c r="D1056" s="15">
        <f>133.55469-0.7-21</f>
        <v>111.85469000000001</v>
      </c>
    </row>
    <row r="1057" spans="1:4" x14ac:dyDescent="0.2">
      <c r="A1057" s="12">
        <v>658</v>
      </c>
      <c r="B1057" s="13">
        <v>2</v>
      </c>
      <c r="C1057" s="14">
        <v>400</v>
      </c>
      <c r="D1057" s="15">
        <f>124.7537475-23-28.7</f>
        <v>73.0537475</v>
      </c>
    </row>
    <row r="1058" spans="1:4" x14ac:dyDescent="0.2">
      <c r="A1058" s="12">
        <v>659</v>
      </c>
      <c r="B1058" s="13">
        <v>1</v>
      </c>
      <c r="C1058" s="14">
        <v>250</v>
      </c>
      <c r="D1058" s="15">
        <f>150-82.5</f>
        <v>67.5</v>
      </c>
    </row>
    <row r="1059" spans="1:4" x14ac:dyDescent="0.2">
      <c r="A1059" s="12">
        <v>660</v>
      </c>
      <c r="B1059" s="13">
        <v>1</v>
      </c>
      <c r="C1059" s="14">
        <v>400</v>
      </c>
      <c r="D1059" s="15">
        <v>0</v>
      </c>
    </row>
    <row r="1060" spans="1:4" x14ac:dyDescent="0.2">
      <c r="A1060" s="12">
        <v>660</v>
      </c>
      <c r="B1060" s="13">
        <v>2</v>
      </c>
      <c r="C1060" s="14">
        <v>400</v>
      </c>
      <c r="D1060" s="15">
        <f>148.34619-8.25</f>
        <v>140.09619000000001</v>
      </c>
    </row>
    <row r="1061" spans="1:4" x14ac:dyDescent="0.2">
      <c r="A1061" s="12">
        <v>662</v>
      </c>
      <c r="B1061" s="13">
        <v>1</v>
      </c>
      <c r="C1061" s="14">
        <v>250</v>
      </c>
      <c r="D1061" s="15">
        <f>150-10.5</f>
        <v>139.5</v>
      </c>
    </row>
    <row r="1062" spans="1:4" x14ac:dyDescent="0.2">
      <c r="A1062" s="12">
        <v>663</v>
      </c>
      <c r="B1062" s="13">
        <v>1</v>
      </c>
      <c r="C1062" s="14">
        <v>630</v>
      </c>
      <c r="D1062" s="15">
        <v>0</v>
      </c>
    </row>
    <row r="1063" spans="1:4" x14ac:dyDescent="0.2">
      <c r="A1063" s="12">
        <v>663</v>
      </c>
      <c r="B1063" s="13">
        <v>2</v>
      </c>
      <c r="C1063" s="14">
        <v>630</v>
      </c>
      <c r="D1063" s="15">
        <v>0</v>
      </c>
    </row>
    <row r="1064" spans="1:4" x14ac:dyDescent="0.2">
      <c r="A1064" s="12">
        <v>664</v>
      </c>
      <c r="B1064" s="13">
        <v>1</v>
      </c>
      <c r="C1064" s="14">
        <v>63</v>
      </c>
      <c r="D1064" s="15">
        <f>35.56484-10.5-0.35</f>
        <v>24.714839999999995</v>
      </c>
    </row>
    <row r="1065" spans="1:4" x14ac:dyDescent="0.2">
      <c r="A1065" s="12">
        <v>665</v>
      </c>
      <c r="B1065" s="13">
        <v>1</v>
      </c>
      <c r="C1065" s="14">
        <v>400</v>
      </c>
      <c r="D1065" s="15">
        <f>122.8062-9-9-60-4.8</f>
        <v>40.006200000000007</v>
      </c>
    </row>
    <row r="1066" spans="1:4" x14ac:dyDescent="0.2">
      <c r="A1066" s="12">
        <v>665</v>
      </c>
      <c r="B1066" s="13">
        <v>2</v>
      </c>
      <c r="C1066" s="14">
        <v>400</v>
      </c>
      <c r="D1066" s="15">
        <f>116.39655-4.2-42-5.6-5.4-3.6</f>
        <v>55.596550000000008</v>
      </c>
    </row>
    <row r="1067" spans="1:4" x14ac:dyDescent="0.2">
      <c r="A1067" s="12">
        <v>666</v>
      </c>
      <c r="B1067" s="13">
        <v>1</v>
      </c>
      <c r="C1067" s="14">
        <v>630</v>
      </c>
      <c r="D1067" s="15">
        <v>283.5</v>
      </c>
    </row>
    <row r="1068" spans="1:4" x14ac:dyDescent="0.2">
      <c r="A1068" s="12">
        <v>666</v>
      </c>
      <c r="B1068" s="13">
        <v>2</v>
      </c>
      <c r="C1068" s="14">
        <v>630</v>
      </c>
      <c r="D1068" s="15">
        <v>283.5</v>
      </c>
    </row>
    <row r="1069" spans="1:4" x14ac:dyDescent="0.2">
      <c r="A1069" s="12">
        <v>667</v>
      </c>
      <c r="B1069" s="13">
        <v>1</v>
      </c>
      <c r="C1069" s="20">
        <v>250</v>
      </c>
      <c r="D1069" s="15">
        <f>113-81.84</f>
        <v>31.159999999999997</v>
      </c>
    </row>
    <row r="1070" spans="1:4" x14ac:dyDescent="0.2">
      <c r="A1070" s="12">
        <v>667</v>
      </c>
      <c r="B1070" s="13">
        <v>2</v>
      </c>
      <c r="C1070" s="20">
        <v>250</v>
      </c>
      <c r="D1070" s="15">
        <v>113</v>
      </c>
    </row>
    <row r="1071" spans="1:4" x14ac:dyDescent="0.2">
      <c r="A1071" s="18">
        <v>668</v>
      </c>
      <c r="B1071" s="19">
        <v>1</v>
      </c>
      <c r="C1071" s="20">
        <v>250</v>
      </c>
      <c r="D1071" s="15">
        <f>121.20588-18</f>
        <v>103.20587999999999</v>
      </c>
    </row>
    <row r="1072" spans="1:4" x14ac:dyDescent="0.2">
      <c r="A1072" s="18">
        <v>669</v>
      </c>
      <c r="B1072" s="19">
        <v>1</v>
      </c>
      <c r="C1072" s="20">
        <v>400</v>
      </c>
      <c r="D1072" s="15">
        <v>156.481515</v>
      </c>
    </row>
    <row r="1073" spans="1:4" x14ac:dyDescent="0.2">
      <c r="A1073" s="12">
        <v>669</v>
      </c>
      <c r="B1073" s="13">
        <v>2</v>
      </c>
      <c r="C1073" s="14">
        <v>400</v>
      </c>
      <c r="D1073" s="15">
        <v>178.964595</v>
      </c>
    </row>
    <row r="1074" spans="1:4" x14ac:dyDescent="0.2">
      <c r="A1074" s="18">
        <v>670</v>
      </c>
      <c r="B1074" s="19">
        <v>1</v>
      </c>
      <c r="C1074" s="20">
        <v>630</v>
      </c>
      <c r="D1074" s="15">
        <v>210.72582</v>
      </c>
    </row>
    <row r="1075" spans="1:4" x14ac:dyDescent="0.2">
      <c r="A1075" s="18">
        <v>670</v>
      </c>
      <c r="B1075" s="19">
        <v>2</v>
      </c>
      <c r="C1075" s="20">
        <v>630</v>
      </c>
      <c r="D1075" s="15">
        <v>283.5</v>
      </c>
    </row>
    <row r="1076" spans="1:4" x14ac:dyDescent="0.2">
      <c r="A1076" s="12">
        <v>671</v>
      </c>
      <c r="B1076" s="13">
        <v>1</v>
      </c>
      <c r="C1076" s="14">
        <v>250</v>
      </c>
      <c r="D1076" s="15">
        <v>111.64071</v>
      </c>
    </row>
    <row r="1077" spans="1:4" x14ac:dyDescent="0.2">
      <c r="A1077" s="12">
        <v>672</v>
      </c>
      <c r="B1077" s="13">
        <v>1</v>
      </c>
      <c r="C1077" s="14">
        <v>400</v>
      </c>
      <c r="D1077" s="15">
        <f>118-6.16</f>
        <v>111.84</v>
      </c>
    </row>
    <row r="1078" spans="1:4" x14ac:dyDescent="0.2">
      <c r="A1078" s="16">
        <v>672</v>
      </c>
      <c r="B1078" s="13">
        <v>2</v>
      </c>
      <c r="C1078" s="17">
        <v>400</v>
      </c>
      <c r="D1078" s="15">
        <v>105</v>
      </c>
    </row>
    <row r="1079" spans="1:4" x14ac:dyDescent="0.2">
      <c r="A1079" s="16">
        <v>673</v>
      </c>
      <c r="B1079" s="13">
        <v>1</v>
      </c>
      <c r="C1079" s="17">
        <v>800</v>
      </c>
      <c r="D1079" s="15">
        <f>308.4516225-10.5-10.5</f>
        <v>287.45162249999998</v>
      </c>
    </row>
    <row r="1080" spans="1:4" x14ac:dyDescent="0.2">
      <c r="A1080" s="16">
        <v>673</v>
      </c>
      <c r="B1080" s="13">
        <v>2</v>
      </c>
      <c r="C1080" s="17">
        <v>800</v>
      </c>
      <c r="D1080" s="15">
        <v>249.35957999999999</v>
      </c>
    </row>
    <row r="1081" spans="1:4" x14ac:dyDescent="0.2">
      <c r="A1081" s="16">
        <v>674</v>
      </c>
      <c r="B1081" s="13">
        <v>1</v>
      </c>
      <c r="C1081" s="17">
        <v>630</v>
      </c>
      <c r="D1081" s="15">
        <f>253.9909575-9-10.5-21</f>
        <v>213.49095750000001</v>
      </c>
    </row>
    <row r="1082" spans="1:4" x14ac:dyDescent="0.2">
      <c r="A1082" s="16">
        <v>674</v>
      </c>
      <c r="B1082" s="13">
        <v>2</v>
      </c>
      <c r="C1082" s="17">
        <v>630</v>
      </c>
      <c r="D1082" s="15">
        <v>228.9933225</v>
      </c>
    </row>
    <row r="1083" spans="1:4" x14ac:dyDescent="0.2">
      <c r="A1083" s="12">
        <v>675</v>
      </c>
      <c r="B1083" s="13">
        <v>1</v>
      </c>
      <c r="C1083" s="14">
        <v>630</v>
      </c>
      <c r="D1083" s="15">
        <f>241.49214-24</f>
        <v>217.49214000000001</v>
      </c>
    </row>
    <row r="1084" spans="1:4" x14ac:dyDescent="0.2">
      <c r="A1084" s="12">
        <v>675</v>
      </c>
      <c r="B1084" s="13">
        <v>2</v>
      </c>
      <c r="C1084" s="14">
        <v>630</v>
      </c>
      <c r="D1084" s="15">
        <f>259.14333-16.2</f>
        <v>242.94333</v>
      </c>
    </row>
    <row r="1085" spans="1:4" x14ac:dyDescent="0.2">
      <c r="A1085" s="12">
        <v>676</v>
      </c>
      <c r="B1085" s="13">
        <v>1</v>
      </c>
      <c r="C1085" s="14">
        <v>400</v>
      </c>
      <c r="D1085" s="15">
        <f>232.60425-3.3-5.5-16.5-2.75-8.25-16.5-29.7</f>
        <v>150.10425000000001</v>
      </c>
    </row>
    <row r="1086" spans="1:4" x14ac:dyDescent="0.2">
      <c r="A1086" s="12">
        <v>678</v>
      </c>
      <c r="B1086" s="13">
        <v>1</v>
      </c>
      <c r="C1086" s="14">
        <v>630</v>
      </c>
      <c r="D1086" s="15">
        <v>264.34500750000001</v>
      </c>
    </row>
    <row r="1087" spans="1:4" x14ac:dyDescent="0.2">
      <c r="A1087" s="12">
        <v>678</v>
      </c>
      <c r="B1087" s="13">
        <v>2</v>
      </c>
      <c r="C1087" s="14">
        <v>630</v>
      </c>
      <c r="D1087" s="15">
        <v>264.56688000000003</v>
      </c>
    </row>
    <row r="1088" spans="1:4" x14ac:dyDescent="0.2">
      <c r="A1088" s="16">
        <v>679</v>
      </c>
      <c r="B1088" s="13">
        <v>1</v>
      </c>
      <c r="C1088" s="17">
        <v>630</v>
      </c>
      <c r="D1088" s="15">
        <f>258.15723-28.2</f>
        <v>229.95723000000004</v>
      </c>
    </row>
    <row r="1089" spans="1:4" x14ac:dyDescent="0.2">
      <c r="A1089" s="16">
        <v>679</v>
      </c>
      <c r="B1089" s="13">
        <v>2</v>
      </c>
      <c r="C1089" s="17">
        <v>630</v>
      </c>
      <c r="D1089" s="15">
        <f>273.34317-28.2</f>
        <v>245.14317</v>
      </c>
    </row>
    <row r="1090" spans="1:4" x14ac:dyDescent="0.2">
      <c r="A1090" s="12">
        <v>679</v>
      </c>
      <c r="B1090" s="13">
        <v>3</v>
      </c>
      <c r="C1090" s="14">
        <v>630</v>
      </c>
      <c r="D1090" s="15">
        <v>262.89051000000001</v>
      </c>
    </row>
    <row r="1091" spans="1:4" x14ac:dyDescent="0.2">
      <c r="A1091" s="12">
        <v>679</v>
      </c>
      <c r="B1091" s="13">
        <v>4</v>
      </c>
      <c r="C1091" s="14">
        <v>630</v>
      </c>
      <c r="D1091" s="15">
        <v>207.96474000000001</v>
      </c>
    </row>
    <row r="1092" spans="1:4" x14ac:dyDescent="0.2">
      <c r="A1092" s="12">
        <v>680</v>
      </c>
      <c r="B1092" s="13">
        <v>1</v>
      </c>
      <c r="C1092" s="14">
        <v>400</v>
      </c>
      <c r="D1092" s="15">
        <f>155.2242375-3</f>
        <v>152.22423749999999</v>
      </c>
    </row>
    <row r="1093" spans="1:4" x14ac:dyDescent="0.2">
      <c r="A1093" s="18">
        <v>680</v>
      </c>
      <c r="B1093" s="19">
        <v>2</v>
      </c>
      <c r="C1093" s="20">
        <v>400</v>
      </c>
      <c r="D1093" s="15">
        <v>143.83478250000002</v>
      </c>
    </row>
    <row r="1094" spans="1:4" x14ac:dyDescent="0.2">
      <c r="A1094" s="12">
        <v>681</v>
      </c>
      <c r="B1094" s="13">
        <v>1</v>
      </c>
      <c r="C1094" s="14">
        <v>630</v>
      </c>
      <c r="D1094" s="15">
        <f>233.5786875-7.7-8.25-99.4</f>
        <v>118.22868750000001</v>
      </c>
    </row>
    <row r="1095" spans="1:4" x14ac:dyDescent="0.2">
      <c r="A1095" s="12">
        <v>681</v>
      </c>
      <c r="B1095" s="13">
        <v>2</v>
      </c>
      <c r="C1095" s="14">
        <v>630</v>
      </c>
      <c r="D1095" s="15">
        <f>230.990175-10.5-5.6</f>
        <v>214.890175</v>
      </c>
    </row>
    <row r="1096" spans="1:4" x14ac:dyDescent="0.2">
      <c r="A1096" s="16">
        <v>682</v>
      </c>
      <c r="B1096" s="19">
        <v>1</v>
      </c>
      <c r="C1096" s="17">
        <v>400</v>
      </c>
      <c r="D1096" s="15">
        <f>101.5310925-7-25.9-10.5</f>
        <v>58.131092499999994</v>
      </c>
    </row>
    <row r="1097" spans="1:4" x14ac:dyDescent="0.2">
      <c r="A1097" s="16">
        <v>682</v>
      </c>
      <c r="B1097" s="19">
        <v>2</v>
      </c>
      <c r="C1097" s="17">
        <v>400</v>
      </c>
      <c r="D1097" s="15">
        <f>111.5893125-7-10.5-10.5</f>
        <v>83.589312500000005</v>
      </c>
    </row>
    <row r="1098" spans="1:4" x14ac:dyDescent="0.2">
      <c r="A1098" s="12">
        <v>683</v>
      </c>
      <c r="B1098" s="13">
        <v>1</v>
      </c>
      <c r="C1098" s="14">
        <v>250</v>
      </c>
      <c r="D1098" s="15">
        <v>0</v>
      </c>
    </row>
    <row r="1099" spans="1:4" x14ac:dyDescent="0.2">
      <c r="A1099" s="12">
        <v>683</v>
      </c>
      <c r="B1099" s="13">
        <v>2</v>
      </c>
      <c r="C1099" s="14">
        <v>250</v>
      </c>
      <c r="D1099" s="15">
        <f>108.4323375-8.25-38.5</f>
        <v>61.682337500000003</v>
      </c>
    </row>
    <row r="1100" spans="1:4" x14ac:dyDescent="0.2">
      <c r="A1100" s="12">
        <v>684</v>
      </c>
      <c r="B1100" s="13">
        <v>1</v>
      </c>
      <c r="C1100" s="14">
        <v>400</v>
      </c>
      <c r="D1100" s="15">
        <f>90.5-10.5</f>
        <v>80</v>
      </c>
    </row>
    <row r="1101" spans="1:4" x14ac:dyDescent="0.2">
      <c r="A1101" s="12">
        <v>684</v>
      </c>
      <c r="B1101" s="13">
        <v>2</v>
      </c>
      <c r="C1101" s="14">
        <v>400</v>
      </c>
      <c r="D1101" s="15">
        <v>44.5</v>
      </c>
    </row>
    <row r="1102" spans="1:4" x14ac:dyDescent="0.2">
      <c r="A1102" s="16">
        <v>685</v>
      </c>
      <c r="B1102" s="13">
        <v>1</v>
      </c>
      <c r="C1102" s="17">
        <v>250</v>
      </c>
      <c r="D1102" s="15">
        <f>79.66287-30-18-9-4.2-6</f>
        <v>12.462869999999999</v>
      </c>
    </row>
    <row r="1103" spans="1:4" x14ac:dyDescent="0.2">
      <c r="A1103" s="16">
        <v>685</v>
      </c>
      <c r="B1103" s="13">
        <v>2</v>
      </c>
      <c r="C1103" s="17">
        <v>250</v>
      </c>
      <c r="D1103" s="15">
        <f>101.25846-9-9-1.2</f>
        <v>82.058459999999997</v>
      </c>
    </row>
    <row r="1104" spans="1:4" x14ac:dyDescent="0.2">
      <c r="A1104" s="12">
        <v>686</v>
      </c>
      <c r="B1104" s="13">
        <v>1</v>
      </c>
      <c r="C1104" s="14">
        <v>1000</v>
      </c>
      <c r="D1104" s="15">
        <f>142.13376+270-389.2-3.5</f>
        <v>19.433760000000007</v>
      </c>
    </row>
    <row r="1105" spans="1:4" x14ac:dyDescent="0.2">
      <c r="A1105" s="12">
        <v>686</v>
      </c>
      <c r="B1105" s="13">
        <v>2</v>
      </c>
      <c r="C1105" s="14">
        <v>1000</v>
      </c>
      <c r="D1105" s="15">
        <f>148.198275+270-389.2</f>
        <v>28.998274999999978</v>
      </c>
    </row>
    <row r="1106" spans="1:4" x14ac:dyDescent="0.2">
      <c r="A1106" s="16">
        <v>687</v>
      </c>
      <c r="B1106" s="13">
        <v>1</v>
      </c>
      <c r="C1106" s="17">
        <v>250</v>
      </c>
      <c r="D1106" s="15">
        <v>95.341859999999997</v>
      </c>
    </row>
    <row r="1107" spans="1:4" x14ac:dyDescent="0.2">
      <c r="A1107" s="16">
        <v>687</v>
      </c>
      <c r="B1107" s="13">
        <v>2</v>
      </c>
      <c r="C1107" s="17">
        <v>250</v>
      </c>
      <c r="D1107" s="15">
        <v>109.24587</v>
      </c>
    </row>
    <row r="1108" spans="1:4" x14ac:dyDescent="0.2">
      <c r="A1108" s="12">
        <v>688</v>
      </c>
      <c r="B1108" s="13">
        <v>1</v>
      </c>
      <c r="C1108" s="14">
        <v>400</v>
      </c>
      <c r="D1108" s="15">
        <f>152.8575975-34.8-9-12-6-6-13.87-9</f>
        <v>62.187597499999995</v>
      </c>
    </row>
    <row r="1109" spans="1:4" x14ac:dyDescent="0.2">
      <c r="A1109" s="12">
        <v>688</v>
      </c>
      <c r="B1109" s="13">
        <v>2</v>
      </c>
      <c r="C1109" s="14">
        <v>400</v>
      </c>
      <c r="D1109" s="15">
        <f>127.786005-4.95-7.8-6-7.8-4.2</f>
        <v>97.036005000000003</v>
      </c>
    </row>
    <row r="1110" spans="1:4" x14ac:dyDescent="0.2">
      <c r="A1110" s="12">
        <v>689</v>
      </c>
      <c r="B1110" s="13">
        <v>1</v>
      </c>
      <c r="C1110" s="14">
        <v>400</v>
      </c>
      <c r="D1110" s="15">
        <v>180</v>
      </c>
    </row>
    <row r="1111" spans="1:4" x14ac:dyDescent="0.2">
      <c r="A1111" s="12">
        <v>689</v>
      </c>
      <c r="B1111" s="13">
        <v>2</v>
      </c>
      <c r="C1111" s="14">
        <v>400</v>
      </c>
      <c r="D1111" s="15">
        <v>180</v>
      </c>
    </row>
    <row r="1112" spans="1:4" x14ac:dyDescent="0.2">
      <c r="A1112" s="12">
        <v>690</v>
      </c>
      <c r="B1112" s="13">
        <v>1</v>
      </c>
      <c r="C1112" s="14">
        <v>250</v>
      </c>
      <c r="D1112" s="15">
        <v>0</v>
      </c>
    </row>
    <row r="1113" spans="1:4" x14ac:dyDescent="0.2">
      <c r="A1113" s="12">
        <v>691</v>
      </c>
      <c r="B1113" s="13">
        <v>1</v>
      </c>
      <c r="C1113" s="14">
        <v>400</v>
      </c>
      <c r="D1113" s="15">
        <f>179.60556-10.5</f>
        <v>169.10556</v>
      </c>
    </row>
    <row r="1114" spans="1:4" x14ac:dyDescent="0.2">
      <c r="A1114" s="12">
        <v>691</v>
      </c>
      <c r="B1114" s="13">
        <v>2</v>
      </c>
      <c r="C1114" s="14">
        <v>400</v>
      </c>
      <c r="D1114" s="15">
        <v>175.19276250000001</v>
      </c>
    </row>
    <row r="1115" spans="1:4" x14ac:dyDescent="0.2">
      <c r="A1115" s="12">
        <v>692</v>
      </c>
      <c r="B1115" s="13">
        <v>1</v>
      </c>
      <c r="C1115" s="14">
        <v>400</v>
      </c>
      <c r="D1115" s="15">
        <f>180-10.5-10.5-23.35-7.2-3.5</f>
        <v>124.95000000000002</v>
      </c>
    </row>
    <row r="1116" spans="1:4" x14ac:dyDescent="0.2">
      <c r="A1116" s="12">
        <v>692</v>
      </c>
      <c r="B1116" s="13">
        <v>2</v>
      </c>
      <c r="C1116" s="14">
        <v>400</v>
      </c>
      <c r="D1116" s="15">
        <v>0</v>
      </c>
    </row>
    <row r="1117" spans="1:4" x14ac:dyDescent="0.2">
      <c r="A1117" s="16">
        <v>693</v>
      </c>
      <c r="B1117" s="13">
        <v>1</v>
      </c>
      <c r="C1117" s="17">
        <v>250</v>
      </c>
      <c r="D1117" s="15">
        <f>112.352085-10.5</f>
        <v>101.852085</v>
      </c>
    </row>
    <row r="1118" spans="1:4" x14ac:dyDescent="0.2">
      <c r="A1118" s="16">
        <v>693</v>
      </c>
      <c r="B1118" s="13">
        <v>2</v>
      </c>
      <c r="C1118" s="17">
        <v>250</v>
      </c>
      <c r="D1118" s="15">
        <v>85.061767500000002</v>
      </c>
    </row>
    <row r="1119" spans="1:4" x14ac:dyDescent="0.2">
      <c r="A1119" s="12">
        <v>694</v>
      </c>
      <c r="B1119" s="13">
        <v>1</v>
      </c>
      <c r="C1119" s="14">
        <v>630</v>
      </c>
      <c r="D1119" s="15">
        <f>277.6573575-10.5-10.5</f>
        <v>256.65735749999999</v>
      </c>
    </row>
    <row r="1120" spans="1:4" x14ac:dyDescent="0.2">
      <c r="A1120" s="12">
        <v>694</v>
      </c>
      <c r="B1120" s="13">
        <v>2</v>
      </c>
      <c r="C1120" s="14">
        <v>630</v>
      </c>
      <c r="D1120" s="15">
        <f>259.0200675-21</f>
        <v>238.02006749999998</v>
      </c>
    </row>
    <row r="1121" spans="1:4" x14ac:dyDescent="0.2">
      <c r="A1121" s="12">
        <v>695</v>
      </c>
      <c r="B1121" s="13">
        <v>1</v>
      </c>
      <c r="C1121" s="14">
        <v>400</v>
      </c>
      <c r="D1121" s="15">
        <f>132.2974125-28-2.1-20.65</f>
        <v>81.547412500000007</v>
      </c>
    </row>
    <row r="1122" spans="1:4" x14ac:dyDescent="0.2">
      <c r="A1122" s="12">
        <v>695</v>
      </c>
      <c r="B1122" s="13">
        <v>2</v>
      </c>
      <c r="C1122" s="14">
        <v>400</v>
      </c>
      <c r="D1122" s="15">
        <f>152.19198-28-10.5-10.5-10.5</f>
        <v>92.691980000000001</v>
      </c>
    </row>
    <row r="1123" spans="1:4" x14ac:dyDescent="0.2">
      <c r="A1123" s="16">
        <v>696</v>
      </c>
      <c r="B1123" s="13">
        <v>1</v>
      </c>
      <c r="C1123" s="17">
        <v>630</v>
      </c>
      <c r="D1123" s="15">
        <f>254.21283-42</f>
        <v>212.21283</v>
      </c>
    </row>
    <row r="1124" spans="1:4" x14ac:dyDescent="0.2">
      <c r="A1124" s="16">
        <v>696</v>
      </c>
      <c r="B1124" s="13">
        <v>2</v>
      </c>
      <c r="C1124" s="17">
        <v>630</v>
      </c>
      <c r="D1124" s="15">
        <v>251.69827500000002</v>
      </c>
    </row>
    <row r="1125" spans="1:4" x14ac:dyDescent="0.2">
      <c r="A1125" s="16">
        <v>697</v>
      </c>
      <c r="B1125" s="13">
        <v>1</v>
      </c>
      <c r="C1125" s="17">
        <v>630</v>
      </c>
      <c r="D1125" s="15">
        <v>0</v>
      </c>
    </row>
    <row r="1126" spans="1:4" x14ac:dyDescent="0.2">
      <c r="A1126" s="16">
        <v>697</v>
      </c>
      <c r="B1126" s="13">
        <v>2</v>
      </c>
      <c r="C1126" s="17">
        <v>630</v>
      </c>
      <c r="D1126" s="15">
        <f>245.2639725-35-35-4.54-14-14</f>
        <v>142.7239725</v>
      </c>
    </row>
    <row r="1127" spans="1:4" x14ac:dyDescent="0.2">
      <c r="A1127" s="16">
        <v>698</v>
      </c>
      <c r="B1127" s="13">
        <v>1</v>
      </c>
      <c r="C1127" s="17">
        <v>630</v>
      </c>
      <c r="D1127" s="15">
        <f>284-5.6-21-7-10.5-10.5-10.5-17.5</f>
        <v>201.39999999999998</v>
      </c>
    </row>
    <row r="1128" spans="1:4" x14ac:dyDescent="0.2">
      <c r="A1128" s="16">
        <v>698</v>
      </c>
      <c r="B1128" s="13">
        <v>2</v>
      </c>
      <c r="C1128" s="17">
        <v>630</v>
      </c>
      <c r="D1128" s="15">
        <f>284-5.88-10.5-10.5-10.5</f>
        <v>246.62</v>
      </c>
    </row>
    <row r="1129" spans="1:4" x14ac:dyDescent="0.2">
      <c r="A1129" s="16">
        <v>699</v>
      </c>
      <c r="B1129" s="13">
        <v>1</v>
      </c>
      <c r="C1129" s="17">
        <v>630</v>
      </c>
      <c r="D1129" s="15">
        <f>284-168-71.05-6.33</f>
        <v>38.620000000000005</v>
      </c>
    </row>
    <row r="1130" spans="1:4" x14ac:dyDescent="0.2">
      <c r="A1130" s="16">
        <v>699</v>
      </c>
      <c r="B1130" s="13">
        <v>2</v>
      </c>
      <c r="C1130" s="17">
        <v>630</v>
      </c>
      <c r="D1130" s="15">
        <f>284-168-71.05-10.5</f>
        <v>34.450000000000003</v>
      </c>
    </row>
    <row r="1131" spans="1:4" x14ac:dyDescent="0.2">
      <c r="A1131" s="16">
        <v>700</v>
      </c>
      <c r="B1131" s="13">
        <v>1</v>
      </c>
      <c r="C1131" s="17">
        <v>400</v>
      </c>
      <c r="D1131" s="15">
        <f>191.77971-27-18-72</f>
        <v>74.779709999999994</v>
      </c>
    </row>
    <row r="1132" spans="1:4" x14ac:dyDescent="0.2">
      <c r="A1132" s="16">
        <v>701</v>
      </c>
      <c r="B1132" s="13">
        <v>1</v>
      </c>
      <c r="C1132" s="17">
        <v>630</v>
      </c>
      <c r="D1132" s="15">
        <f>220.2663375-3.9-9-9-18-27-6-18-3-3-4.8-9-6.3-15-0.3</f>
        <v>87.966337499999995</v>
      </c>
    </row>
    <row r="1133" spans="1:4" x14ac:dyDescent="0.2">
      <c r="A1133" s="12">
        <v>701</v>
      </c>
      <c r="B1133" s="13">
        <v>2</v>
      </c>
      <c r="C1133" s="14">
        <v>630</v>
      </c>
      <c r="D1133" s="15">
        <f>237.4244775-3-0.6</f>
        <v>233.8244775</v>
      </c>
    </row>
    <row r="1134" spans="1:4" x14ac:dyDescent="0.2">
      <c r="A1134" s="12">
        <v>702</v>
      </c>
      <c r="B1134" s="13">
        <v>1</v>
      </c>
      <c r="C1134" s="14">
        <v>400</v>
      </c>
      <c r="D1134" s="15">
        <f>147.79965-3.5-6.5-42.7-5.6-0.93-33.6</f>
        <v>54.969650000000009</v>
      </c>
    </row>
    <row r="1135" spans="1:4" x14ac:dyDescent="0.2">
      <c r="A1135" s="12">
        <v>703</v>
      </c>
      <c r="B1135" s="13">
        <v>1</v>
      </c>
      <c r="C1135" s="14">
        <v>400</v>
      </c>
      <c r="D1135" s="15">
        <f>169.05429-12-6</f>
        <v>151.05429000000001</v>
      </c>
    </row>
    <row r="1136" spans="1:4" x14ac:dyDescent="0.2">
      <c r="A1136" s="16">
        <v>703</v>
      </c>
      <c r="B1136" s="13">
        <v>2</v>
      </c>
      <c r="C1136" s="17">
        <v>400</v>
      </c>
      <c r="D1136" s="15">
        <f>136.7348625-5.4-6</f>
        <v>125.33486249999999</v>
      </c>
    </row>
    <row r="1137" spans="1:4" x14ac:dyDescent="0.2">
      <c r="A1137" s="12">
        <v>704</v>
      </c>
      <c r="B1137" s="13">
        <v>1</v>
      </c>
      <c r="C1137" s="14">
        <v>630</v>
      </c>
      <c r="D1137" s="15">
        <v>227.66208750000001</v>
      </c>
    </row>
    <row r="1138" spans="1:4" x14ac:dyDescent="0.2">
      <c r="A1138" s="12">
        <v>704</v>
      </c>
      <c r="B1138" s="13">
        <v>2</v>
      </c>
      <c r="C1138" s="14">
        <v>630</v>
      </c>
      <c r="D1138" s="15">
        <f>167.53464-10.5</f>
        <v>157.03464</v>
      </c>
    </row>
    <row r="1139" spans="1:4" x14ac:dyDescent="0.2">
      <c r="A1139" s="18">
        <v>705</v>
      </c>
      <c r="B1139" s="19">
        <v>1</v>
      </c>
      <c r="C1139" s="20">
        <v>630</v>
      </c>
      <c r="D1139" s="15">
        <f>284-3</f>
        <v>281</v>
      </c>
    </row>
    <row r="1140" spans="1:4" x14ac:dyDescent="0.2">
      <c r="A1140" s="18">
        <v>705</v>
      </c>
      <c r="B1140" s="19">
        <v>2</v>
      </c>
      <c r="C1140" s="20">
        <v>630</v>
      </c>
      <c r="D1140" s="15">
        <v>284</v>
      </c>
    </row>
    <row r="1141" spans="1:4" x14ac:dyDescent="0.2">
      <c r="A1141" s="18">
        <v>705</v>
      </c>
      <c r="B1141" s="19">
        <v>3</v>
      </c>
      <c r="C1141" s="20">
        <v>630</v>
      </c>
      <c r="D1141" s="15">
        <v>0</v>
      </c>
    </row>
    <row r="1142" spans="1:4" x14ac:dyDescent="0.2">
      <c r="A1142" s="12">
        <v>705</v>
      </c>
      <c r="B1142" s="13">
        <v>4</v>
      </c>
      <c r="C1142" s="20">
        <v>630</v>
      </c>
      <c r="D1142" s="15">
        <v>0</v>
      </c>
    </row>
    <row r="1143" spans="1:4" x14ac:dyDescent="0.2">
      <c r="A1143" s="12">
        <v>706</v>
      </c>
      <c r="B1143" s="13">
        <v>1</v>
      </c>
      <c r="C1143" s="14">
        <v>400</v>
      </c>
      <c r="D1143" s="15">
        <f>140.210865-27-41.4</f>
        <v>71.810865000000007</v>
      </c>
    </row>
    <row r="1144" spans="1:4" x14ac:dyDescent="0.2">
      <c r="A1144" s="12">
        <v>706</v>
      </c>
      <c r="B1144" s="13">
        <v>2</v>
      </c>
      <c r="C1144" s="14">
        <v>400</v>
      </c>
      <c r="D1144" s="15">
        <f>129.9307725-3</f>
        <v>126.93077249999999</v>
      </c>
    </row>
    <row r="1145" spans="1:4" x14ac:dyDescent="0.2">
      <c r="A1145" s="12">
        <v>707</v>
      </c>
      <c r="B1145" s="13">
        <v>1</v>
      </c>
      <c r="C1145" s="14">
        <v>630</v>
      </c>
      <c r="D1145" s="15">
        <v>238.63245000000003</v>
      </c>
    </row>
    <row r="1146" spans="1:4" x14ac:dyDescent="0.2">
      <c r="A1146" s="12">
        <v>707</v>
      </c>
      <c r="B1146" s="13">
        <v>2</v>
      </c>
      <c r="C1146" s="14">
        <v>630</v>
      </c>
      <c r="D1146" s="15">
        <v>282.31668000000002</v>
      </c>
    </row>
    <row r="1147" spans="1:4" x14ac:dyDescent="0.2">
      <c r="A1147" s="12">
        <v>708</v>
      </c>
      <c r="B1147" s="13">
        <v>1</v>
      </c>
      <c r="C1147" s="14">
        <v>400</v>
      </c>
      <c r="D1147" s="15">
        <f>146.86704-9</f>
        <v>137.86704</v>
      </c>
    </row>
    <row r="1148" spans="1:4" x14ac:dyDescent="0.2">
      <c r="A1148" s="12">
        <v>708</v>
      </c>
      <c r="B1148" s="13">
        <v>2</v>
      </c>
      <c r="C1148" s="14">
        <v>400</v>
      </c>
      <c r="D1148" s="15">
        <f>161.2641-3.6</f>
        <v>157.66410000000002</v>
      </c>
    </row>
    <row r="1149" spans="1:4" x14ac:dyDescent="0.2">
      <c r="A1149" s="12">
        <v>709</v>
      </c>
      <c r="B1149" s="13">
        <v>1</v>
      </c>
      <c r="C1149" s="14">
        <v>400</v>
      </c>
      <c r="D1149" s="15">
        <v>160.08078</v>
      </c>
    </row>
    <row r="1150" spans="1:4" x14ac:dyDescent="0.2">
      <c r="A1150" s="12">
        <v>709</v>
      </c>
      <c r="B1150" s="13">
        <v>2</v>
      </c>
      <c r="C1150" s="14">
        <v>400</v>
      </c>
      <c r="D1150" s="15">
        <v>178.42224000000002</v>
      </c>
    </row>
    <row r="1151" spans="1:4" x14ac:dyDescent="0.2">
      <c r="A1151" s="12">
        <v>710</v>
      </c>
      <c r="B1151" s="13">
        <v>1</v>
      </c>
      <c r="C1151" s="14">
        <v>100</v>
      </c>
      <c r="D1151" s="15">
        <v>53.590350000000001</v>
      </c>
    </row>
    <row r="1152" spans="1:4" x14ac:dyDescent="0.2">
      <c r="A1152" s="12">
        <v>711</v>
      </c>
      <c r="B1152" s="13">
        <v>1</v>
      </c>
      <c r="C1152" s="14">
        <v>630</v>
      </c>
      <c r="D1152" s="15">
        <f>259.981515-9</f>
        <v>250.981515</v>
      </c>
    </row>
    <row r="1153" spans="1:4" x14ac:dyDescent="0.2">
      <c r="A1153" s="12">
        <v>711</v>
      </c>
      <c r="B1153" s="13">
        <v>2</v>
      </c>
      <c r="C1153" s="14">
        <v>630</v>
      </c>
      <c r="D1153" s="15">
        <v>246.15146250000001</v>
      </c>
    </row>
    <row r="1154" spans="1:4" x14ac:dyDescent="0.2">
      <c r="A1154" s="18">
        <v>712</v>
      </c>
      <c r="B1154" s="19">
        <v>1</v>
      </c>
      <c r="C1154" s="20">
        <v>630</v>
      </c>
      <c r="D1154" s="15">
        <f>252.17364-16.8-8.52-9-4.8</f>
        <v>213.05363999999997</v>
      </c>
    </row>
    <row r="1155" spans="1:4" x14ac:dyDescent="0.2">
      <c r="A1155" s="12">
        <v>713</v>
      </c>
      <c r="B1155" s="13">
        <v>1</v>
      </c>
      <c r="C1155" s="14">
        <v>400</v>
      </c>
      <c r="D1155" s="15">
        <f>171.66327-9-0.54-12-4.8-6.42-6</f>
        <v>132.90327000000002</v>
      </c>
    </row>
    <row r="1156" spans="1:4" x14ac:dyDescent="0.2">
      <c r="A1156" s="12">
        <v>714</v>
      </c>
      <c r="B1156" s="13">
        <v>1</v>
      </c>
      <c r="C1156" s="14">
        <v>250</v>
      </c>
      <c r="D1156" s="15">
        <f>97.24365-10.5-10.5-10.5-3.5-10.5-10.5-7-7-7</f>
        <v>20.243650000000002</v>
      </c>
    </row>
    <row r="1157" spans="1:4" x14ac:dyDescent="0.2">
      <c r="A1157" s="12">
        <v>715</v>
      </c>
      <c r="B1157" s="13">
        <v>1</v>
      </c>
      <c r="C1157" s="14">
        <v>630</v>
      </c>
      <c r="D1157" s="15">
        <v>259.34055000000001</v>
      </c>
    </row>
    <row r="1158" spans="1:4" x14ac:dyDescent="0.2">
      <c r="A1158" s="12">
        <v>715</v>
      </c>
      <c r="B1158" s="13">
        <v>2</v>
      </c>
      <c r="C1158" s="14">
        <v>630</v>
      </c>
      <c r="D1158" s="15">
        <f>272.35707-6</f>
        <v>266.35707000000002</v>
      </c>
    </row>
    <row r="1159" spans="1:4" x14ac:dyDescent="0.2">
      <c r="A1159" s="12">
        <v>716</v>
      </c>
      <c r="B1159" s="13">
        <v>1</v>
      </c>
      <c r="C1159" s="14">
        <v>400</v>
      </c>
      <c r="D1159" s="15">
        <f>165.70155-9-21</f>
        <v>135.70155</v>
      </c>
    </row>
    <row r="1160" spans="1:4" x14ac:dyDescent="0.2">
      <c r="A1160" s="12">
        <v>716</v>
      </c>
      <c r="B1160" s="13">
        <v>2</v>
      </c>
      <c r="C1160" s="14">
        <v>400</v>
      </c>
      <c r="D1160" s="15">
        <v>165.99737999999999</v>
      </c>
    </row>
    <row r="1161" spans="1:4" x14ac:dyDescent="0.2">
      <c r="A1161" s="12">
        <v>717</v>
      </c>
      <c r="B1161" s="13">
        <v>1</v>
      </c>
      <c r="C1161" s="14">
        <v>400</v>
      </c>
      <c r="D1161" s="15">
        <v>0</v>
      </c>
    </row>
    <row r="1162" spans="1:4" x14ac:dyDescent="0.2">
      <c r="A1162" s="12">
        <v>717</v>
      </c>
      <c r="B1162" s="13">
        <v>2</v>
      </c>
      <c r="C1162" s="14">
        <v>400</v>
      </c>
      <c r="D1162" s="15">
        <f>170.73066-74.52-69.72</f>
        <v>26.490660000000005</v>
      </c>
    </row>
    <row r="1163" spans="1:4" x14ac:dyDescent="0.2">
      <c r="A1163" s="12">
        <v>718</v>
      </c>
      <c r="B1163" s="13">
        <v>1</v>
      </c>
      <c r="C1163" s="14">
        <v>630</v>
      </c>
      <c r="D1163" s="15">
        <f>283.5-9-9</f>
        <v>265.5</v>
      </c>
    </row>
    <row r="1164" spans="1:4" x14ac:dyDescent="0.2">
      <c r="A1164" s="12">
        <v>718</v>
      </c>
      <c r="B1164" s="13">
        <v>2</v>
      </c>
      <c r="C1164" s="14">
        <v>630</v>
      </c>
      <c r="D1164" s="15">
        <f>283.5-10.5-8.4</f>
        <v>264.60000000000002</v>
      </c>
    </row>
    <row r="1165" spans="1:4" x14ac:dyDescent="0.2">
      <c r="A1165" s="12">
        <v>719</v>
      </c>
      <c r="B1165" s="13">
        <v>1</v>
      </c>
      <c r="C1165" s="14">
        <v>400</v>
      </c>
      <c r="D1165" s="15">
        <f>211-10.5</f>
        <v>200.5</v>
      </c>
    </row>
    <row r="1166" spans="1:4" x14ac:dyDescent="0.2">
      <c r="A1166" s="12">
        <v>719</v>
      </c>
      <c r="B1166" s="13">
        <v>2</v>
      </c>
      <c r="C1166" s="14">
        <v>630</v>
      </c>
      <c r="D1166" s="15">
        <v>219</v>
      </c>
    </row>
    <row r="1167" spans="1:4" x14ac:dyDescent="0.2">
      <c r="A1167" s="12">
        <v>720</v>
      </c>
      <c r="B1167" s="13">
        <v>1</v>
      </c>
      <c r="C1167" s="14">
        <v>630</v>
      </c>
      <c r="D1167" s="15">
        <v>167.87097</v>
      </c>
    </row>
    <row r="1168" spans="1:4" x14ac:dyDescent="0.2">
      <c r="A1168" s="12">
        <v>720</v>
      </c>
      <c r="B1168" s="13">
        <v>2</v>
      </c>
      <c r="C1168" s="14">
        <v>400</v>
      </c>
      <c r="D1168" s="15">
        <f>137.3265225-0.6</f>
        <v>136.72652250000002</v>
      </c>
    </row>
    <row r="1169" spans="1:4" x14ac:dyDescent="0.2">
      <c r="A1169" s="12">
        <v>721</v>
      </c>
      <c r="B1169" s="13">
        <v>1</v>
      </c>
      <c r="C1169" s="14">
        <v>400</v>
      </c>
      <c r="D1169" s="15">
        <f>153.67113-25.5-9</f>
        <v>119.17113000000001</v>
      </c>
    </row>
    <row r="1170" spans="1:4" x14ac:dyDescent="0.2">
      <c r="A1170" s="27">
        <v>721</v>
      </c>
      <c r="B1170" s="28">
        <v>2</v>
      </c>
      <c r="C1170" s="14">
        <v>250</v>
      </c>
      <c r="D1170" s="15">
        <f>88.9075575-1.2-11.38-25.5</f>
        <v>50.827557499999998</v>
      </c>
    </row>
    <row r="1171" spans="1:4" x14ac:dyDescent="0.2">
      <c r="A1171" s="14">
        <v>722</v>
      </c>
      <c r="B1171" s="29">
        <v>1</v>
      </c>
      <c r="C1171" s="14">
        <v>1000</v>
      </c>
      <c r="D1171" s="15">
        <v>385.21323000000001</v>
      </c>
    </row>
    <row r="1172" spans="1:4" x14ac:dyDescent="0.2">
      <c r="A1172" s="14">
        <v>722</v>
      </c>
      <c r="B1172" s="29">
        <v>2</v>
      </c>
      <c r="C1172" s="14">
        <v>1000</v>
      </c>
      <c r="D1172" s="15">
        <v>418.83924000000002</v>
      </c>
    </row>
    <row r="1173" spans="1:4" x14ac:dyDescent="0.2">
      <c r="A1173" s="14">
        <v>723</v>
      </c>
      <c r="B1173" s="29">
        <v>1</v>
      </c>
      <c r="C1173" s="14">
        <v>400</v>
      </c>
      <c r="D1173" s="15">
        <f>236.15421-35-35-35</f>
        <v>131.15421000000001</v>
      </c>
    </row>
    <row r="1174" spans="1:4" x14ac:dyDescent="0.2">
      <c r="A1174" s="14">
        <v>724</v>
      </c>
      <c r="B1174" s="29">
        <v>1</v>
      </c>
      <c r="C1174" s="14">
        <v>100</v>
      </c>
      <c r="D1174" s="15">
        <f>52.63712-0.7-1.26</f>
        <v>50.677120000000002</v>
      </c>
    </row>
    <row r="1175" spans="1:4" x14ac:dyDescent="0.2">
      <c r="A1175" s="14">
        <v>725</v>
      </c>
      <c r="B1175" s="29">
        <v>1</v>
      </c>
      <c r="C1175" s="14">
        <v>250</v>
      </c>
      <c r="D1175" s="15">
        <v>0</v>
      </c>
    </row>
    <row r="1176" spans="1:4" x14ac:dyDescent="0.2">
      <c r="A1176" s="14">
        <v>726</v>
      </c>
      <c r="B1176" s="29">
        <v>1</v>
      </c>
      <c r="C1176" s="14">
        <v>400</v>
      </c>
      <c r="D1176" s="15">
        <f>171-68.75-27.5-10.5-27.5-8.25</f>
        <v>28.5</v>
      </c>
    </row>
    <row r="1177" spans="1:4" x14ac:dyDescent="0.2">
      <c r="A1177" s="14">
        <v>726</v>
      </c>
      <c r="B1177" s="29">
        <v>2</v>
      </c>
      <c r="C1177" s="14">
        <v>400</v>
      </c>
      <c r="D1177" s="15">
        <f>180-33</f>
        <v>147</v>
      </c>
    </row>
    <row r="1178" spans="1:4" x14ac:dyDescent="0.2">
      <c r="A1178" s="14">
        <v>727</v>
      </c>
      <c r="B1178" s="29">
        <v>1</v>
      </c>
      <c r="C1178" s="14">
        <v>250</v>
      </c>
      <c r="D1178" s="15">
        <v>0</v>
      </c>
    </row>
    <row r="1179" spans="1:4" x14ac:dyDescent="0.2">
      <c r="A1179" s="33">
        <v>727</v>
      </c>
      <c r="B1179" s="34">
        <v>2</v>
      </c>
      <c r="C1179" s="20">
        <v>250</v>
      </c>
      <c r="D1179" s="15">
        <v>0</v>
      </c>
    </row>
    <row r="1180" spans="1:4" x14ac:dyDescent="0.2">
      <c r="A1180" s="12">
        <v>728</v>
      </c>
      <c r="B1180" s="13">
        <v>1</v>
      </c>
      <c r="C1180" s="14">
        <v>400</v>
      </c>
      <c r="D1180" s="15">
        <f>177.63336-9.5-18</f>
        <v>150.13336000000001</v>
      </c>
    </row>
    <row r="1181" spans="1:4" x14ac:dyDescent="0.2">
      <c r="A1181" s="12">
        <v>728</v>
      </c>
      <c r="B1181" s="13">
        <v>2</v>
      </c>
      <c r="C1181" s="14">
        <v>400</v>
      </c>
      <c r="D1181" s="15">
        <f>160.918965-70</f>
        <v>90.918964999999986</v>
      </c>
    </row>
    <row r="1182" spans="1:4" x14ac:dyDescent="0.2">
      <c r="A1182" s="12">
        <v>729</v>
      </c>
      <c r="B1182" s="13">
        <v>1</v>
      </c>
      <c r="C1182" s="14">
        <v>250</v>
      </c>
      <c r="D1182" s="15">
        <v>0</v>
      </c>
    </row>
    <row r="1183" spans="1:4" x14ac:dyDescent="0.2">
      <c r="A1183" s="12">
        <v>730</v>
      </c>
      <c r="B1183" s="13">
        <v>1</v>
      </c>
      <c r="C1183" s="14">
        <v>400</v>
      </c>
      <c r="D1183" s="15">
        <v>132.1494975</v>
      </c>
    </row>
    <row r="1184" spans="1:4" x14ac:dyDescent="0.2">
      <c r="A1184" s="12">
        <v>730</v>
      </c>
      <c r="B1184" s="13">
        <v>2</v>
      </c>
      <c r="C1184" s="14">
        <v>400</v>
      </c>
      <c r="D1184" s="15">
        <v>136.73486250000002</v>
      </c>
    </row>
    <row r="1185" spans="1:4" x14ac:dyDescent="0.2">
      <c r="A1185" s="16">
        <v>731</v>
      </c>
      <c r="B1185" s="13">
        <v>1</v>
      </c>
      <c r="C1185" s="17">
        <v>400</v>
      </c>
      <c r="D1185" s="15">
        <v>172.45633500000002</v>
      </c>
    </row>
    <row r="1186" spans="1:4" x14ac:dyDescent="0.2">
      <c r="A1186" s="16">
        <v>731</v>
      </c>
      <c r="B1186" s="13">
        <v>2</v>
      </c>
      <c r="C1186" s="17">
        <v>400</v>
      </c>
      <c r="D1186" s="15">
        <f>147.902445-8.25-8.25</f>
        <v>131.402445</v>
      </c>
    </row>
    <row r="1187" spans="1:4" x14ac:dyDescent="0.2">
      <c r="A1187" s="12">
        <v>733</v>
      </c>
      <c r="B1187" s="13">
        <v>1</v>
      </c>
      <c r="C1187" s="14">
        <v>400</v>
      </c>
      <c r="D1187" s="15">
        <f>191-7-14-10.5-7-10.5-21-10.5-8.4-10.5-10.5</f>
        <v>81.099999999999994</v>
      </c>
    </row>
    <row r="1188" spans="1:4" x14ac:dyDescent="0.2">
      <c r="A1188" s="12">
        <v>734</v>
      </c>
      <c r="B1188" s="13">
        <v>1</v>
      </c>
      <c r="C1188" s="14">
        <v>630</v>
      </c>
      <c r="D1188" s="15">
        <v>0</v>
      </c>
    </row>
    <row r="1189" spans="1:4" x14ac:dyDescent="0.2">
      <c r="A1189" s="12">
        <v>734</v>
      </c>
      <c r="B1189" s="13">
        <v>2</v>
      </c>
      <c r="C1189" s="14">
        <v>630</v>
      </c>
      <c r="D1189" s="15">
        <f>284-70-10.5-10.5-10.5-10.58-10.5-10.5-10.5-3.5-10.5-17.5</f>
        <v>108.91999999999999</v>
      </c>
    </row>
    <row r="1190" spans="1:4" x14ac:dyDescent="0.2">
      <c r="A1190" s="12">
        <v>735</v>
      </c>
      <c r="B1190" s="13">
        <v>1</v>
      </c>
      <c r="C1190" s="14">
        <v>630</v>
      </c>
      <c r="D1190" s="15">
        <f>226.9225125-6.3-3.5</f>
        <v>217.1225125</v>
      </c>
    </row>
    <row r="1191" spans="1:4" x14ac:dyDescent="0.2">
      <c r="A1191" s="12">
        <v>735</v>
      </c>
      <c r="B1191" s="13">
        <v>2</v>
      </c>
      <c r="C1191" s="14">
        <v>630</v>
      </c>
      <c r="D1191" s="15">
        <v>252.5118075</v>
      </c>
    </row>
    <row r="1192" spans="1:4" x14ac:dyDescent="0.2">
      <c r="A1192" s="12">
        <v>736</v>
      </c>
      <c r="B1192" s="13">
        <v>1</v>
      </c>
      <c r="C1192" s="14">
        <v>630</v>
      </c>
      <c r="D1192" s="15">
        <v>0</v>
      </c>
    </row>
    <row r="1193" spans="1:4" x14ac:dyDescent="0.2">
      <c r="A1193" s="12">
        <v>736</v>
      </c>
      <c r="B1193" s="13">
        <v>2</v>
      </c>
      <c r="C1193" s="14">
        <v>630</v>
      </c>
      <c r="D1193" s="15">
        <v>0</v>
      </c>
    </row>
    <row r="1194" spans="1:4" x14ac:dyDescent="0.2">
      <c r="A1194" s="12">
        <v>737</v>
      </c>
      <c r="B1194" s="13">
        <v>1</v>
      </c>
      <c r="C1194" s="14">
        <v>250</v>
      </c>
      <c r="D1194" s="15">
        <f>88.24194-42</f>
        <v>46.24194</v>
      </c>
    </row>
    <row r="1195" spans="1:4" x14ac:dyDescent="0.2">
      <c r="A1195" s="12">
        <v>737</v>
      </c>
      <c r="B1195" s="13">
        <v>2</v>
      </c>
      <c r="C1195" s="14">
        <v>250</v>
      </c>
      <c r="D1195" s="15">
        <v>88.143330000000006</v>
      </c>
    </row>
    <row r="1196" spans="1:4" x14ac:dyDescent="0.2">
      <c r="A1196" s="12">
        <v>738</v>
      </c>
      <c r="B1196" s="13">
        <v>1</v>
      </c>
      <c r="C1196" s="14">
        <v>400</v>
      </c>
      <c r="D1196" s="15">
        <f>180-35-21-3.5-7-10.5-10.5-31.5</f>
        <v>61</v>
      </c>
    </row>
    <row r="1197" spans="1:4" x14ac:dyDescent="0.2">
      <c r="A1197" s="12">
        <v>738</v>
      </c>
      <c r="B1197" s="13">
        <v>2</v>
      </c>
      <c r="C1197" s="14">
        <v>400</v>
      </c>
      <c r="D1197" s="15">
        <f>172-10.5-10.5-21-1.4-10.5-10.5-10.5</f>
        <v>97.1</v>
      </c>
    </row>
    <row r="1198" spans="1:4" x14ac:dyDescent="0.2">
      <c r="A1198" s="12">
        <v>739</v>
      </c>
      <c r="B1198" s="13">
        <v>1</v>
      </c>
      <c r="C1198" s="14">
        <v>630</v>
      </c>
      <c r="D1198" s="15">
        <f>283.5-10.5-10.5-10.5-10.5-10.5-55.3</f>
        <v>175.7</v>
      </c>
    </row>
    <row r="1199" spans="1:4" x14ac:dyDescent="0.2">
      <c r="A1199" s="12">
        <v>739</v>
      </c>
      <c r="B1199" s="13">
        <v>2</v>
      </c>
      <c r="C1199" s="14">
        <v>630</v>
      </c>
      <c r="D1199" s="15">
        <v>0</v>
      </c>
    </row>
    <row r="1200" spans="1:4" x14ac:dyDescent="0.2">
      <c r="A1200" s="12">
        <v>740</v>
      </c>
      <c r="B1200" s="13">
        <v>1</v>
      </c>
      <c r="C1200" s="14">
        <v>250</v>
      </c>
      <c r="D1200" s="15">
        <f>150-10.5-7-10.5-17-10.5-31.5-21-10.5-10.5-10.5-10.5</f>
        <v>0</v>
      </c>
    </row>
    <row r="1201" spans="1:4" x14ac:dyDescent="0.2">
      <c r="A1201" s="12">
        <v>741</v>
      </c>
      <c r="B1201" s="13">
        <v>1</v>
      </c>
      <c r="C1201" s="14">
        <v>630</v>
      </c>
      <c r="D1201" s="15">
        <v>0</v>
      </c>
    </row>
    <row r="1202" spans="1:4" x14ac:dyDescent="0.2">
      <c r="A1202" s="12">
        <v>741</v>
      </c>
      <c r="B1202" s="13">
        <v>2</v>
      </c>
      <c r="C1202" s="14">
        <v>630</v>
      </c>
      <c r="D1202" s="15">
        <f>284-12-12-12-24-12-12-24</f>
        <v>176</v>
      </c>
    </row>
    <row r="1203" spans="1:4" x14ac:dyDescent="0.2">
      <c r="A1203" s="12">
        <v>742</v>
      </c>
      <c r="B1203" s="13">
        <v>1</v>
      </c>
      <c r="C1203" s="14">
        <v>1000</v>
      </c>
      <c r="D1203" s="15">
        <f>450-434</f>
        <v>16</v>
      </c>
    </row>
    <row r="1204" spans="1:4" x14ac:dyDescent="0.2">
      <c r="A1204" s="12">
        <v>742</v>
      </c>
      <c r="B1204" s="13">
        <v>2</v>
      </c>
      <c r="C1204" s="14">
        <v>1000</v>
      </c>
      <c r="D1204" s="15">
        <v>0</v>
      </c>
    </row>
    <row r="1205" spans="1:4" x14ac:dyDescent="0.2">
      <c r="A1205" s="12">
        <v>743</v>
      </c>
      <c r="B1205" s="13">
        <v>1</v>
      </c>
      <c r="C1205" s="14">
        <v>250</v>
      </c>
      <c r="D1205" s="15">
        <f>150-35-98-10.5</f>
        <v>6.5</v>
      </c>
    </row>
    <row r="1206" spans="1:4" x14ac:dyDescent="0.2">
      <c r="A1206" s="12">
        <v>744</v>
      </c>
      <c r="B1206" s="13">
        <v>1</v>
      </c>
      <c r="C1206" s="14">
        <v>250</v>
      </c>
      <c r="D1206" s="15">
        <f>132.54603-10.5-10.5-7</f>
        <v>104.54603</v>
      </c>
    </row>
    <row r="1207" spans="1:4" x14ac:dyDescent="0.2">
      <c r="A1207" s="12">
        <v>745</v>
      </c>
      <c r="B1207" s="13">
        <v>1</v>
      </c>
      <c r="C1207" s="14">
        <v>250</v>
      </c>
      <c r="D1207" s="15">
        <f>68-14-10.5-6</f>
        <v>37.5</v>
      </c>
    </row>
    <row r="1208" spans="1:4" x14ac:dyDescent="0.2">
      <c r="A1208" s="12">
        <v>745</v>
      </c>
      <c r="B1208" s="13">
        <v>2</v>
      </c>
      <c r="C1208" s="14">
        <v>250</v>
      </c>
      <c r="D1208" s="15">
        <f>68-22.5-8.25-9</f>
        <v>28.25</v>
      </c>
    </row>
    <row r="1209" spans="1:4" x14ac:dyDescent="0.2">
      <c r="A1209" s="12">
        <v>746</v>
      </c>
      <c r="B1209" s="13">
        <v>1</v>
      </c>
      <c r="C1209" s="14">
        <v>400</v>
      </c>
      <c r="D1209" s="15">
        <f>229-5.5-8.25-8.25-33-5.5-0.55-5.5-5.5</f>
        <v>156.94999999999999</v>
      </c>
    </row>
    <row r="1210" spans="1:4" x14ac:dyDescent="0.2">
      <c r="A1210" s="12">
        <v>747</v>
      </c>
      <c r="B1210" s="13">
        <v>1</v>
      </c>
      <c r="C1210" s="14">
        <v>400</v>
      </c>
      <c r="D1210" s="15">
        <v>0</v>
      </c>
    </row>
    <row r="1211" spans="1:4" x14ac:dyDescent="0.2">
      <c r="A1211" s="12">
        <v>748</v>
      </c>
      <c r="B1211" s="13">
        <v>1</v>
      </c>
      <c r="C1211" s="14">
        <v>400</v>
      </c>
      <c r="D1211" s="15">
        <v>0</v>
      </c>
    </row>
    <row r="1212" spans="1:4" x14ac:dyDescent="0.2">
      <c r="A1212" s="12">
        <v>749</v>
      </c>
      <c r="B1212" s="13">
        <v>1</v>
      </c>
      <c r="C1212" s="14">
        <v>400</v>
      </c>
      <c r="D1212" s="15">
        <f>136.2911175-9-9-18</f>
        <v>100.29111750000001</v>
      </c>
    </row>
    <row r="1213" spans="1:4" x14ac:dyDescent="0.2">
      <c r="A1213" s="12">
        <v>749</v>
      </c>
      <c r="B1213" s="13">
        <v>2</v>
      </c>
      <c r="C1213" s="14">
        <v>400</v>
      </c>
      <c r="D1213" s="15">
        <f>156.185685-8</f>
        <v>148.18568500000001</v>
      </c>
    </row>
    <row r="1214" spans="1:4" x14ac:dyDescent="0.2">
      <c r="A1214" s="12">
        <v>750</v>
      </c>
      <c r="B1214" s="13">
        <v>1</v>
      </c>
      <c r="C1214" s="14">
        <v>630</v>
      </c>
      <c r="D1214" s="15">
        <f>258.35445-0.12-55.94-58.8-16.1</f>
        <v>127.39444999999998</v>
      </c>
    </row>
    <row r="1215" spans="1:4" x14ac:dyDescent="0.2">
      <c r="A1215" s="12">
        <v>750</v>
      </c>
      <c r="B1215" s="13">
        <v>2</v>
      </c>
      <c r="C1215" s="14">
        <v>630</v>
      </c>
      <c r="D1215" s="15">
        <f>259.8336-9-55.94-9-58.8-16.1</f>
        <v>110.99359999999999</v>
      </c>
    </row>
    <row r="1216" spans="1:4" x14ac:dyDescent="0.2">
      <c r="A1216" s="12">
        <v>751</v>
      </c>
      <c r="B1216" s="13">
        <v>1</v>
      </c>
      <c r="C1216" s="14">
        <v>250</v>
      </c>
      <c r="D1216" s="15">
        <f>96.1553925-9-9-6-3.5-7-10.5</f>
        <v>51.155392500000005</v>
      </c>
    </row>
    <row r="1217" spans="1:4" x14ac:dyDescent="0.2">
      <c r="A1217" s="12">
        <v>751</v>
      </c>
      <c r="B1217" s="13">
        <v>2</v>
      </c>
      <c r="C1217" s="14">
        <v>250</v>
      </c>
      <c r="D1217" s="15">
        <f>75.964995-7</f>
        <v>68.964995000000002</v>
      </c>
    </row>
    <row r="1218" spans="1:4" x14ac:dyDescent="0.2">
      <c r="A1218" s="12">
        <v>752</v>
      </c>
      <c r="B1218" s="13">
        <v>1</v>
      </c>
      <c r="C1218" s="14">
        <v>630</v>
      </c>
      <c r="D1218" s="15">
        <f>284-140.25</f>
        <v>143.75</v>
      </c>
    </row>
    <row r="1219" spans="1:4" x14ac:dyDescent="0.2">
      <c r="A1219" s="12">
        <v>752</v>
      </c>
      <c r="B1219" s="13">
        <v>2</v>
      </c>
      <c r="C1219" s="14">
        <v>630</v>
      </c>
      <c r="D1219" s="15">
        <f>284-140.25</f>
        <v>143.75</v>
      </c>
    </row>
    <row r="1220" spans="1:4" x14ac:dyDescent="0.2">
      <c r="A1220" s="12">
        <v>753</v>
      </c>
      <c r="B1220" s="13">
        <v>1</v>
      </c>
      <c r="C1220" s="14">
        <v>400</v>
      </c>
      <c r="D1220" s="15">
        <v>0</v>
      </c>
    </row>
    <row r="1221" spans="1:4" x14ac:dyDescent="0.2">
      <c r="A1221" s="12">
        <v>753</v>
      </c>
      <c r="B1221" s="13">
        <v>2</v>
      </c>
      <c r="C1221" s="14">
        <v>400</v>
      </c>
      <c r="D1221" s="15">
        <v>0</v>
      </c>
    </row>
    <row r="1222" spans="1:4" x14ac:dyDescent="0.2">
      <c r="A1222" s="12">
        <v>754</v>
      </c>
      <c r="B1222" s="13">
        <v>1</v>
      </c>
      <c r="C1222" s="14">
        <v>400</v>
      </c>
      <c r="D1222" s="15">
        <v>140.13690750000001</v>
      </c>
    </row>
    <row r="1223" spans="1:4" x14ac:dyDescent="0.2">
      <c r="A1223" s="12">
        <v>754</v>
      </c>
      <c r="B1223" s="13">
        <v>2</v>
      </c>
      <c r="C1223" s="14">
        <v>400</v>
      </c>
      <c r="D1223" s="15">
        <v>154.26279</v>
      </c>
    </row>
    <row r="1224" spans="1:4" x14ac:dyDescent="0.2">
      <c r="A1224" s="12">
        <v>755</v>
      </c>
      <c r="B1224" s="13">
        <v>2</v>
      </c>
      <c r="C1224" s="14">
        <v>630</v>
      </c>
      <c r="D1224" s="15">
        <f>283.5-23.8</f>
        <v>259.7</v>
      </c>
    </row>
    <row r="1225" spans="1:4" x14ac:dyDescent="0.2">
      <c r="A1225" s="12">
        <v>755</v>
      </c>
      <c r="B1225" s="13">
        <v>1</v>
      </c>
      <c r="C1225" s="14">
        <v>630</v>
      </c>
      <c r="D1225" s="15">
        <v>378</v>
      </c>
    </row>
    <row r="1226" spans="1:4" x14ac:dyDescent="0.2">
      <c r="A1226" s="12">
        <v>756</v>
      </c>
      <c r="B1226" s="13">
        <v>1</v>
      </c>
      <c r="C1226" s="14">
        <v>630</v>
      </c>
      <c r="D1226" s="15">
        <f>368.63205-9</f>
        <v>359.63204999999999</v>
      </c>
    </row>
    <row r="1227" spans="1:4" x14ac:dyDescent="0.2">
      <c r="A1227" s="12">
        <v>757</v>
      </c>
      <c r="B1227" s="13">
        <v>1</v>
      </c>
      <c r="C1227" s="14">
        <v>1000</v>
      </c>
      <c r="D1227" s="15">
        <f>450-295.28-3.5-7-15.44-14-10.5-10.5-23.24-3.5</f>
        <v>67.040000000000035</v>
      </c>
    </row>
    <row r="1228" spans="1:4" x14ac:dyDescent="0.2">
      <c r="A1228" s="12">
        <v>757</v>
      </c>
      <c r="B1228" s="13">
        <v>2</v>
      </c>
      <c r="C1228" s="14">
        <v>1000</v>
      </c>
      <c r="D1228" s="15">
        <f>450-295.28-10.5-7-4.2</f>
        <v>133.02000000000004</v>
      </c>
    </row>
    <row r="1229" spans="1:4" x14ac:dyDescent="0.2">
      <c r="A1229" s="12">
        <v>758</v>
      </c>
      <c r="B1229" s="13">
        <v>1</v>
      </c>
      <c r="C1229" s="14">
        <v>400</v>
      </c>
      <c r="D1229" s="15">
        <f>143-95.2</f>
        <v>47.8</v>
      </c>
    </row>
    <row r="1230" spans="1:4" x14ac:dyDescent="0.2">
      <c r="A1230" s="12">
        <v>758</v>
      </c>
      <c r="B1230" s="13">
        <v>2</v>
      </c>
      <c r="C1230" s="14">
        <v>400</v>
      </c>
      <c r="D1230" s="15">
        <f>175-95.2-21</f>
        <v>58.8</v>
      </c>
    </row>
    <row r="1231" spans="1:4" x14ac:dyDescent="0.2">
      <c r="A1231" s="16">
        <v>759</v>
      </c>
      <c r="B1231" s="13">
        <v>1</v>
      </c>
      <c r="C1231" s="17">
        <v>400</v>
      </c>
      <c r="D1231" s="15">
        <v>0</v>
      </c>
    </row>
    <row r="1232" spans="1:4" x14ac:dyDescent="0.2">
      <c r="A1232" s="16">
        <v>760</v>
      </c>
      <c r="B1232" s="13">
        <v>1</v>
      </c>
      <c r="C1232" s="17">
        <v>400</v>
      </c>
      <c r="D1232" s="15">
        <f>129.7089-9-15-24-12-1.8-6</f>
        <v>61.908900000000003</v>
      </c>
    </row>
    <row r="1233" spans="1:4" x14ac:dyDescent="0.2">
      <c r="A1233" s="16">
        <v>760</v>
      </c>
      <c r="B1233" s="13">
        <v>2</v>
      </c>
      <c r="C1233" s="17">
        <v>400</v>
      </c>
      <c r="D1233" s="15">
        <f>136.7348625-14.7</f>
        <v>122.03486249999999</v>
      </c>
    </row>
    <row r="1234" spans="1:4" x14ac:dyDescent="0.2">
      <c r="A1234" s="12">
        <v>761</v>
      </c>
      <c r="B1234" s="13">
        <v>1</v>
      </c>
      <c r="C1234" s="14">
        <v>400</v>
      </c>
      <c r="D1234" s="15">
        <f>147.99687-17.5-1.65-0.11-7.7</f>
        <v>121.03686999999998</v>
      </c>
    </row>
    <row r="1235" spans="1:4" x14ac:dyDescent="0.2">
      <c r="A1235" s="12">
        <v>762</v>
      </c>
      <c r="B1235" s="13">
        <v>1</v>
      </c>
      <c r="C1235" s="14">
        <v>630</v>
      </c>
      <c r="D1235" s="15">
        <f>265.45437-3.6-9-4.5</f>
        <v>248.35436999999996</v>
      </c>
    </row>
    <row r="1236" spans="1:4" x14ac:dyDescent="0.2">
      <c r="A1236" s="12">
        <v>762</v>
      </c>
      <c r="B1236" s="13">
        <v>2</v>
      </c>
      <c r="C1236" s="14">
        <v>630</v>
      </c>
      <c r="D1236" s="15">
        <v>264.1970925</v>
      </c>
    </row>
    <row r="1237" spans="1:4" x14ac:dyDescent="0.2">
      <c r="A1237" s="12">
        <v>763</v>
      </c>
      <c r="B1237" s="13">
        <v>1</v>
      </c>
      <c r="C1237" s="14">
        <v>400</v>
      </c>
      <c r="D1237" s="15">
        <f>108.3351825-21</f>
        <v>87.335182500000002</v>
      </c>
    </row>
    <row r="1238" spans="1:4" x14ac:dyDescent="0.2">
      <c r="A1238" s="12">
        <v>763</v>
      </c>
      <c r="B1238" s="13">
        <v>2</v>
      </c>
      <c r="C1238" s="14">
        <v>400</v>
      </c>
      <c r="D1238" s="15">
        <f>125.123535-8.05-10.5-21-15.68</f>
        <v>69.893535000000014</v>
      </c>
    </row>
    <row r="1239" spans="1:4" x14ac:dyDescent="0.2">
      <c r="A1239" s="16">
        <v>764</v>
      </c>
      <c r="B1239" s="13">
        <v>1</v>
      </c>
      <c r="C1239" s="17">
        <v>400</v>
      </c>
      <c r="D1239" s="15">
        <f>133.702605-10.5-12.6</f>
        <v>110.60260500000001</v>
      </c>
    </row>
    <row r="1240" spans="1:4" x14ac:dyDescent="0.2">
      <c r="A1240" s="16">
        <v>764</v>
      </c>
      <c r="B1240" s="13">
        <v>2</v>
      </c>
      <c r="C1240" s="17">
        <v>320</v>
      </c>
      <c r="D1240" s="15">
        <f>113.4309-68.04-10.5</f>
        <v>34.890899999999988</v>
      </c>
    </row>
    <row r="1241" spans="1:4" x14ac:dyDescent="0.2">
      <c r="A1241" s="16">
        <v>765</v>
      </c>
      <c r="B1241" s="13">
        <v>1</v>
      </c>
      <c r="C1241" s="17">
        <v>250</v>
      </c>
      <c r="D1241" s="15">
        <v>101.6282475</v>
      </c>
    </row>
    <row r="1242" spans="1:4" x14ac:dyDescent="0.2">
      <c r="A1242" s="16">
        <v>765</v>
      </c>
      <c r="B1242" s="13">
        <v>2</v>
      </c>
      <c r="C1242" s="17">
        <v>250</v>
      </c>
      <c r="D1242" s="15">
        <v>91.200239999999994</v>
      </c>
    </row>
    <row r="1243" spans="1:4" x14ac:dyDescent="0.2">
      <c r="A1243" s="16">
        <v>766</v>
      </c>
      <c r="B1243" s="13">
        <v>1</v>
      </c>
      <c r="C1243" s="17">
        <v>400</v>
      </c>
      <c r="D1243" s="15">
        <v>224.61684</v>
      </c>
    </row>
    <row r="1244" spans="1:4" x14ac:dyDescent="0.2">
      <c r="A1244" s="16">
        <v>767</v>
      </c>
      <c r="B1244" s="13">
        <v>1</v>
      </c>
      <c r="C1244" s="17">
        <v>400</v>
      </c>
      <c r="D1244" s="15">
        <v>103.4539875</v>
      </c>
    </row>
    <row r="1245" spans="1:4" x14ac:dyDescent="0.2">
      <c r="A1245" s="12">
        <v>767</v>
      </c>
      <c r="B1245" s="13">
        <v>2</v>
      </c>
      <c r="C1245" s="14">
        <v>630</v>
      </c>
      <c r="D1245" s="15">
        <f>229.06728-7.14-4.2</f>
        <v>217.72728000000004</v>
      </c>
    </row>
    <row r="1246" spans="1:4" x14ac:dyDescent="0.2">
      <c r="A1246" s="16">
        <v>768</v>
      </c>
      <c r="B1246" s="13">
        <v>1</v>
      </c>
      <c r="C1246" s="17">
        <v>400</v>
      </c>
      <c r="D1246" s="15">
        <v>0</v>
      </c>
    </row>
    <row r="1247" spans="1:4" x14ac:dyDescent="0.2">
      <c r="A1247" s="16">
        <v>769</v>
      </c>
      <c r="B1247" s="13">
        <v>1</v>
      </c>
      <c r="C1247" s="17">
        <v>250</v>
      </c>
      <c r="D1247" s="15">
        <v>0</v>
      </c>
    </row>
    <row r="1248" spans="1:4" x14ac:dyDescent="0.2">
      <c r="A1248" s="12">
        <v>770</v>
      </c>
      <c r="B1248" s="13">
        <v>1</v>
      </c>
      <c r="C1248" s="14">
        <v>400</v>
      </c>
      <c r="D1248" s="15">
        <f>125.02074-3-3.6-6-6-15</f>
        <v>91.420740000000009</v>
      </c>
    </row>
    <row r="1249" spans="1:4" x14ac:dyDescent="0.2">
      <c r="A1249" s="12">
        <v>771</v>
      </c>
      <c r="B1249" s="13">
        <v>1</v>
      </c>
      <c r="C1249" s="14">
        <v>400</v>
      </c>
      <c r="D1249" s="15">
        <f>139.2494175-7-7</f>
        <v>125.24941749999999</v>
      </c>
    </row>
    <row r="1250" spans="1:4" x14ac:dyDescent="0.2">
      <c r="A1250" s="12">
        <v>771</v>
      </c>
      <c r="B1250" s="13">
        <v>2</v>
      </c>
      <c r="C1250" s="14">
        <v>400</v>
      </c>
      <c r="D1250" s="15">
        <v>157.73879249999999</v>
      </c>
    </row>
    <row r="1251" spans="1:4" x14ac:dyDescent="0.2">
      <c r="A1251" s="12">
        <v>772</v>
      </c>
      <c r="B1251" s="13">
        <v>1</v>
      </c>
      <c r="C1251" s="14">
        <v>400</v>
      </c>
      <c r="D1251" s="15">
        <f>240-70</f>
        <v>170</v>
      </c>
    </row>
    <row r="1252" spans="1:4" x14ac:dyDescent="0.2">
      <c r="A1252" s="12">
        <v>773</v>
      </c>
      <c r="B1252" s="13">
        <v>2</v>
      </c>
      <c r="C1252" s="14">
        <v>250</v>
      </c>
      <c r="D1252" s="15">
        <v>77.592060000000004</v>
      </c>
    </row>
    <row r="1253" spans="1:4" x14ac:dyDescent="0.2">
      <c r="A1253" s="12">
        <v>773</v>
      </c>
      <c r="B1253" s="13">
        <v>1</v>
      </c>
      <c r="C1253" s="14">
        <v>400</v>
      </c>
      <c r="D1253" s="15">
        <f>232.99869-10</f>
        <v>222.99869000000001</v>
      </c>
    </row>
    <row r="1254" spans="1:4" x14ac:dyDescent="0.2">
      <c r="A1254" s="12">
        <v>774</v>
      </c>
      <c r="B1254" s="13">
        <v>1</v>
      </c>
      <c r="C1254" s="14">
        <v>400</v>
      </c>
      <c r="D1254" s="15">
        <f>152.13849-10.5-21-10.5-70-10.5</f>
        <v>29.63848999999999</v>
      </c>
    </row>
    <row r="1255" spans="1:4" x14ac:dyDescent="0.2">
      <c r="A1255" s="12">
        <v>775</v>
      </c>
      <c r="B1255" s="13">
        <v>1</v>
      </c>
      <c r="C1255" s="14">
        <v>400</v>
      </c>
      <c r="D1255" s="15">
        <f>240-10.5-14-21-10.5-6.3-10.5-10.5-7-10.5-10.5</f>
        <v>128.69999999999999</v>
      </c>
    </row>
    <row r="1256" spans="1:4" x14ac:dyDescent="0.2">
      <c r="A1256" s="12">
        <v>776</v>
      </c>
      <c r="B1256" s="13">
        <v>1</v>
      </c>
      <c r="C1256" s="14">
        <v>400</v>
      </c>
      <c r="D1256" s="15">
        <f>240-8.25-27.5-5.5-8.25-16.5-38.5</f>
        <v>135.5</v>
      </c>
    </row>
    <row r="1257" spans="1:4" x14ac:dyDescent="0.2">
      <c r="A1257" s="12">
        <v>777</v>
      </c>
      <c r="B1257" s="13">
        <v>1</v>
      </c>
      <c r="C1257" s="14">
        <v>250</v>
      </c>
      <c r="D1257" s="15">
        <v>105.10425000000001</v>
      </c>
    </row>
    <row r="1258" spans="1:4" x14ac:dyDescent="0.2">
      <c r="A1258" s="12">
        <v>777</v>
      </c>
      <c r="B1258" s="13">
        <v>2</v>
      </c>
      <c r="C1258" s="14">
        <v>250</v>
      </c>
      <c r="D1258" s="15">
        <f>88.4638125-2.1</f>
        <v>86.363812500000009</v>
      </c>
    </row>
    <row r="1259" spans="1:4" x14ac:dyDescent="0.2">
      <c r="A1259" s="12">
        <v>778</v>
      </c>
      <c r="B1259" s="13">
        <v>1</v>
      </c>
      <c r="C1259" s="14">
        <v>630</v>
      </c>
      <c r="D1259" s="15">
        <v>259.38985500000001</v>
      </c>
    </row>
    <row r="1260" spans="1:4" x14ac:dyDescent="0.2">
      <c r="A1260" s="12">
        <v>778</v>
      </c>
      <c r="B1260" s="13">
        <v>2</v>
      </c>
      <c r="C1260" s="14">
        <v>630</v>
      </c>
      <c r="D1260" s="15">
        <v>259.16798249999999</v>
      </c>
    </row>
    <row r="1261" spans="1:4" x14ac:dyDescent="0.2">
      <c r="A1261" s="12">
        <v>779</v>
      </c>
      <c r="B1261" s="13">
        <v>1</v>
      </c>
      <c r="C1261" s="14">
        <v>320</v>
      </c>
      <c r="D1261" s="15">
        <f>105.83793-42</f>
        <v>63.83793</v>
      </c>
    </row>
    <row r="1262" spans="1:4" x14ac:dyDescent="0.2">
      <c r="A1262" s="12">
        <v>779</v>
      </c>
      <c r="B1262" s="13">
        <v>2</v>
      </c>
      <c r="C1262" s="14">
        <v>320</v>
      </c>
      <c r="D1262" s="15">
        <v>95.927625000000006</v>
      </c>
    </row>
    <row r="1263" spans="1:4" x14ac:dyDescent="0.2">
      <c r="A1263" s="16">
        <v>780</v>
      </c>
      <c r="B1263" s="13">
        <v>1</v>
      </c>
      <c r="C1263" s="17">
        <v>400</v>
      </c>
      <c r="D1263" s="15">
        <f>164.76057-20-4.8-27-1.8-15.6-18.6-16.8-33</f>
        <v>27.160569999999993</v>
      </c>
    </row>
    <row r="1264" spans="1:4" x14ac:dyDescent="0.2">
      <c r="A1264" s="16">
        <v>781</v>
      </c>
      <c r="B1264" s="13">
        <v>1</v>
      </c>
      <c r="C1264" s="17">
        <v>400</v>
      </c>
      <c r="D1264" s="15">
        <f>149.57463-2.86-8.25-8.25-5.28-8.25-14.25-45.1-8.25-8.25</f>
        <v>40.834629999999997</v>
      </c>
    </row>
    <row r="1265" spans="1:4" x14ac:dyDescent="0.2">
      <c r="A1265" s="12">
        <v>782</v>
      </c>
      <c r="B1265" s="13">
        <v>1</v>
      </c>
      <c r="C1265" s="14">
        <v>400</v>
      </c>
      <c r="D1265" s="15">
        <f>154.6325775-0.5</f>
        <v>154.1325775</v>
      </c>
    </row>
    <row r="1266" spans="1:4" x14ac:dyDescent="0.2">
      <c r="A1266" s="12">
        <v>782</v>
      </c>
      <c r="B1266" s="13">
        <v>2</v>
      </c>
      <c r="C1266" s="14">
        <v>400</v>
      </c>
      <c r="D1266" s="15">
        <v>146.27538000000001</v>
      </c>
    </row>
    <row r="1267" spans="1:4" x14ac:dyDescent="0.2">
      <c r="A1267" s="12">
        <v>783</v>
      </c>
      <c r="B1267" s="13">
        <v>1</v>
      </c>
      <c r="C1267" s="14">
        <v>400</v>
      </c>
      <c r="D1267" s="15">
        <v>162.10228500000002</v>
      </c>
    </row>
    <row r="1268" spans="1:4" x14ac:dyDescent="0.2">
      <c r="A1268" s="12">
        <v>783</v>
      </c>
      <c r="B1268" s="13">
        <v>2</v>
      </c>
      <c r="C1268" s="14">
        <v>400</v>
      </c>
      <c r="D1268" s="15">
        <f>101.161305-9</f>
        <v>92.161304999999999</v>
      </c>
    </row>
    <row r="1269" spans="1:4" x14ac:dyDescent="0.2">
      <c r="A1269" s="12">
        <v>784</v>
      </c>
      <c r="B1269" s="13">
        <v>1</v>
      </c>
      <c r="C1269" s="14">
        <v>1000</v>
      </c>
      <c r="D1269" s="15">
        <f>435.5782875-213.5-18.37</f>
        <v>203.70828749999998</v>
      </c>
    </row>
    <row r="1270" spans="1:4" x14ac:dyDescent="0.2">
      <c r="A1270" s="12">
        <v>784</v>
      </c>
      <c r="B1270" s="13">
        <v>2</v>
      </c>
      <c r="C1270" s="14">
        <v>1000</v>
      </c>
      <c r="D1270" s="15">
        <f>437.5011825-213.5-8.25</f>
        <v>215.75118250000003</v>
      </c>
    </row>
    <row r="1271" spans="1:4" x14ac:dyDescent="0.2">
      <c r="A1271" s="16">
        <v>785</v>
      </c>
      <c r="B1271" s="13">
        <v>1</v>
      </c>
      <c r="C1271" s="17">
        <v>400</v>
      </c>
      <c r="D1271" s="15">
        <f>164.02518-10.5</f>
        <v>153.52518000000001</v>
      </c>
    </row>
    <row r="1272" spans="1:4" x14ac:dyDescent="0.2">
      <c r="A1272" s="16">
        <v>785</v>
      </c>
      <c r="B1272" s="13">
        <v>2</v>
      </c>
      <c r="C1272" s="17">
        <v>400</v>
      </c>
      <c r="D1272" s="15">
        <v>140.21086500000001</v>
      </c>
    </row>
    <row r="1273" spans="1:4" x14ac:dyDescent="0.2">
      <c r="A1273" s="16">
        <v>786</v>
      </c>
      <c r="B1273" s="13">
        <v>1</v>
      </c>
      <c r="C1273" s="17">
        <v>1000</v>
      </c>
      <c r="D1273" s="15">
        <v>0</v>
      </c>
    </row>
    <row r="1274" spans="1:4" x14ac:dyDescent="0.2">
      <c r="A1274" s="16">
        <v>786</v>
      </c>
      <c r="B1274" s="13">
        <v>2</v>
      </c>
      <c r="C1274" s="17">
        <v>1000</v>
      </c>
      <c r="D1274" s="15">
        <v>0</v>
      </c>
    </row>
    <row r="1275" spans="1:4" x14ac:dyDescent="0.2">
      <c r="A1275" s="16">
        <v>787</v>
      </c>
      <c r="B1275" s="13">
        <v>1</v>
      </c>
      <c r="C1275" s="17">
        <v>250</v>
      </c>
      <c r="D1275" s="15">
        <v>0</v>
      </c>
    </row>
    <row r="1276" spans="1:4" x14ac:dyDescent="0.2">
      <c r="A1276" s="16">
        <v>788</v>
      </c>
      <c r="B1276" s="13">
        <v>1</v>
      </c>
      <c r="C1276" s="17">
        <v>250</v>
      </c>
      <c r="D1276" s="15">
        <v>84.618022500000009</v>
      </c>
    </row>
    <row r="1277" spans="1:4" x14ac:dyDescent="0.2">
      <c r="A1277" s="16">
        <v>788</v>
      </c>
      <c r="B1277" s="13">
        <v>2</v>
      </c>
      <c r="C1277" s="17">
        <v>250</v>
      </c>
      <c r="D1277" s="15">
        <v>85.801342500000004</v>
      </c>
    </row>
    <row r="1278" spans="1:4" x14ac:dyDescent="0.2">
      <c r="A1278" s="16">
        <v>789</v>
      </c>
      <c r="B1278" s="13">
        <v>1</v>
      </c>
      <c r="C1278" s="17">
        <v>400</v>
      </c>
      <c r="D1278" s="15">
        <f>167.723055-7.2-15.6</f>
        <v>144.92305500000001</v>
      </c>
    </row>
    <row r="1279" spans="1:4" x14ac:dyDescent="0.2">
      <c r="A1279" s="16">
        <v>789</v>
      </c>
      <c r="B1279" s="13">
        <v>2</v>
      </c>
      <c r="C1279" s="17">
        <v>400</v>
      </c>
      <c r="D1279" s="15">
        <f>151.0826175-9</f>
        <v>142.0826175</v>
      </c>
    </row>
    <row r="1280" spans="1:4" x14ac:dyDescent="0.2">
      <c r="A1280" s="16">
        <v>790</v>
      </c>
      <c r="B1280" s="13">
        <v>1</v>
      </c>
      <c r="C1280" s="17">
        <v>400</v>
      </c>
      <c r="D1280" s="15">
        <v>0</v>
      </c>
    </row>
    <row r="1281" spans="1:4" x14ac:dyDescent="0.2">
      <c r="A1281" s="16">
        <v>790</v>
      </c>
      <c r="B1281" s="13">
        <v>2</v>
      </c>
      <c r="C1281" s="17">
        <v>400</v>
      </c>
      <c r="D1281" s="15">
        <f>180-21</f>
        <v>159</v>
      </c>
    </row>
    <row r="1282" spans="1:4" x14ac:dyDescent="0.2">
      <c r="A1282" s="12">
        <v>791</v>
      </c>
      <c r="B1282" s="13">
        <v>1</v>
      </c>
      <c r="C1282" s="14">
        <v>400</v>
      </c>
      <c r="D1282" s="15">
        <f>199.37268-9-4.2-4.2</f>
        <v>181.97268000000003</v>
      </c>
    </row>
    <row r="1283" spans="1:4" x14ac:dyDescent="0.2">
      <c r="A1283" s="12">
        <v>792</v>
      </c>
      <c r="B1283" s="13">
        <v>1</v>
      </c>
      <c r="C1283" s="14">
        <v>400</v>
      </c>
      <c r="D1283" s="15">
        <v>0</v>
      </c>
    </row>
    <row r="1284" spans="1:4" x14ac:dyDescent="0.2">
      <c r="A1284" s="12">
        <v>793</v>
      </c>
      <c r="B1284" s="13">
        <v>1</v>
      </c>
      <c r="C1284" s="14">
        <v>250</v>
      </c>
      <c r="D1284" s="15">
        <v>103.79263999999999</v>
      </c>
    </row>
    <row r="1285" spans="1:4" x14ac:dyDescent="0.2">
      <c r="A1285" s="12">
        <v>794</v>
      </c>
      <c r="B1285" s="13">
        <v>1</v>
      </c>
      <c r="C1285" s="14">
        <v>400</v>
      </c>
      <c r="D1285" s="15">
        <v>149.75138250000001</v>
      </c>
    </row>
    <row r="1286" spans="1:4" x14ac:dyDescent="0.2">
      <c r="A1286" s="12">
        <v>794</v>
      </c>
      <c r="B1286" s="13">
        <v>2</v>
      </c>
      <c r="C1286" s="14">
        <v>400</v>
      </c>
      <c r="D1286" s="15">
        <v>156.99921750000001</v>
      </c>
    </row>
    <row r="1287" spans="1:4" x14ac:dyDescent="0.2">
      <c r="A1287" s="12">
        <v>795</v>
      </c>
      <c r="B1287" s="13">
        <v>1</v>
      </c>
      <c r="C1287" s="14">
        <v>630</v>
      </c>
      <c r="D1287" s="15">
        <f>283.5-5.5-6.6-4.51-1.46-6.6-17.16-11-27.5</f>
        <v>203.17</v>
      </c>
    </row>
    <row r="1288" spans="1:4" x14ac:dyDescent="0.2">
      <c r="A1288" s="12">
        <v>795</v>
      </c>
      <c r="B1288" s="13">
        <v>2</v>
      </c>
      <c r="C1288" s="14">
        <v>630</v>
      </c>
      <c r="D1288" s="15">
        <f>283.5-6.6-6.6</f>
        <v>270.29999999999995</v>
      </c>
    </row>
    <row r="1289" spans="1:4" x14ac:dyDescent="0.2">
      <c r="A1289" s="12">
        <v>796</v>
      </c>
      <c r="B1289" s="13">
        <v>1</v>
      </c>
      <c r="C1289" s="14">
        <v>400</v>
      </c>
      <c r="D1289" s="15">
        <f>240-165-11</f>
        <v>64</v>
      </c>
    </row>
    <row r="1290" spans="1:4" x14ac:dyDescent="0.2">
      <c r="A1290" s="12">
        <v>797</v>
      </c>
      <c r="B1290" s="13">
        <v>1</v>
      </c>
      <c r="C1290" s="14">
        <v>400</v>
      </c>
      <c r="D1290" s="15">
        <v>0</v>
      </c>
    </row>
    <row r="1291" spans="1:4" x14ac:dyDescent="0.2">
      <c r="A1291" s="12">
        <v>797</v>
      </c>
      <c r="B1291" s="13">
        <v>2</v>
      </c>
      <c r="C1291" s="14">
        <v>400</v>
      </c>
      <c r="D1291" s="15">
        <v>0</v>
      </c>
    </row>
    <row r="1292" spans="1:4" x14ac:dyDescent="0.2">
      <c r="A1292" s="16">
        <v>798</v>
      </c>
      <c r="B1292" s="13">
        <v>1</v>
      </c>
      <c r="C1292" s="17">
        <v>400</v>
      </c>
      <c r="D1292" s="15">
        <v>153.42042000000001</v>
      </c>
    </row>
    <row r="1293" spans="1:4" x14ac:dyDescent="0.2">
      <c r="A1293" s="16">
        <v>799</v>
      </c>
      <c r="B1293" s="13">
        <v>1</v>
      </c>
      <c r="C1293" s="17">
        <v>250</v>
      </c>
      <c r="D1293" s="15">
        <f>113-10.5-21</f>
        <v>81.5</v>
      </c>
    </row>
    <row r="1294" spans="1:4" x14ac:dyDescent="0.2">
      <c r="A1294" s="12">
        <v>799</v>
      </c>
      <c r="B1294" s="13">
        <v>2</v>
      </c>
      <c r="C1294" s="14">
        <v>250</v>
      </c>
      <c r="D1294" s="15">
        <v>103</v>
      </c>
    </row>
    <row r="1295" spans="1:4" x14ac:dyDescent="0.2">
      <c r="A1295" s="12">
        <v>800</v>
      </c>
      <c r="B1295" s="13">
        <v>1</v>
      </c>
      <c r="C1295" s="14">
        <v>400</v>
      </c>
      <c r="D1295" s="15">
        <v>169.59245999999999</v>
      </c>
    </row>
    <row r="1296" spans="1:4" x14ac:dyDescent="0.2">
      <c r="A1296" s="12">
        <v>801</v>
      </c>
      <c r="B1296" s="13">
        <v>1</v>
      </c>
      <c r="C1296" s="14">
        <v>400</v>
      </c>
      <c r="D1296" s="15">
        <v>0</v>
      </c>
    </row>
    <row r="1297" spans="1:4" x14ac:dyDescent="0.2">
      <c r="A1297" s="12">
        <v>802</v>
      </c>
      <c r="B1297" s="13">
        <v>1</v>
      </c>
      <c r="C1297" s="14">
        <v>630</v>
      </c>
      <c r="D1297" s="15">
        <f>238.82967-10.5</f>
        <v>228.32966999999999</v>
      </c>
    </row>
    <row r="1298" spans="1:4" x14ac:dyDescent="0.2">
      <c r="A1298" s="16">
        <v>802</v>
      </c>
      <c r="B1298" s="13">
        <v>2</v>
      </c>
      <c r="C1298" s="17">
        <v>630</v>
      </c>
      <c r="D1298" s="15">
        <f>280.5417-10.5-10.5</f>
        <v>259.54169999999999</v>
      </c>
    </row>
    <row r="1299" spans="1:4" x14ac:dyDescent="0.2">
      <c r="A1299" s="16">
        <v>803</v>
      </c>
      <c r="B1299" s="13">
        <v>1</v>
      </c>
      <c r="C1299" s="17">
        <v>630</v>
      </c>
      <c r="D1299" s="15">
        <f>247.9264425-6.86-10.5-10.5</f>
        <v>220.06644249999999</v>
      </c>
    </row>
    <row r="1300" spans="1:4" x14ac:dyDescent="0.2">
      <c r="A1300" s="16">
        <v>803</v>
      </c>
      <c r="B1300" s="13">
        <v>2</v>
      </c>
      <c r="C1300" s="17">
        <v>630</v>
      </c>
      <c r="D1300" s="15">
        <f>273.3678225-10.5</f>
        <v>262.86782249999999</v>
      </c>
    </row>
    <row r="1301" spans="1:4" x14ac:dyDescent="0.2">
      <c r="A1301" s="16">
        <v>804</v>
      </c>
      <c r="B1301" s="13">
        <v>1</v>
      </c>
      <c r="C1301" s="17">
        <v>630</v>
      </c>
      <c r="D1301" s="15">
        <f>246.52125-7-24.5-10.5</f>
        <v>204.52125000000001</v>
      </c>
    </row>
    <row r="1302" spans="1:4" x14ac:dyDescent="0.2">
      <c r="A1302" s="16">
        <v>804</v>
      </c>
      <c r="B1302" s="13">
        <v>2</v>
      </c>
      <c r="C1302" s="17">
        <v>630</v>
      </c>
      <c r="D1302" s="15">
        <f>265.7502-24.5</f>
        <v>241.25020000000001</v>
      </c>
    </row>
    <row r="1303" spans="1:4" x14ac:dyDescent="0.2">
      <c r="A1303" s="16">
        <v>805</v>
      </c>
      <c r="B1303" s="13">
        <v>1</v>
      </c>
      <c r="C1303" s="17">
        <v>400</v>
      </c>
      <c r="D1303" s="15">
        <v>153.89300249999999</v>
      </c>
    </row>
    <row r="1304" spans="1:4" x14ac:dyDescent="0.2">
      <c r="A1304" s="16">
        <v>805</v>
      </c>
      <c r="B1304" s="13">
        <v>2</v>
      </c>
      <c r="C1304" s="17">
        <v>400</v>
      </c>
      <c r="D1304" s="15">
        <f>160.8450075-7-10.5</f>
        <v>143.34500750000001</v>
      </c>
    </row>
    <row r="1305" spans="1:4" x14ac:dyDescent="0.2">
      <c r="A1305" s="16">
        <v>806</v>
      </c>
      <c r="B1305" s="13">
        <v>1</v>
      </c>
      <c r="C1305" s="17">
        <v>630</v>
      </c>
      <c r="D1305" s="15">
        <f>279.95004-12.95-24.5-10.5</f>
        <v>232.00004000000001</v>
      </c>
    </row>
    <row r="1306" spans="1:4" x14ac:dyDescent="0.2">
      <c r="A1306" s="16">
        <v>806</v>
      </c>
      <c r="B1306" s="13">
        <v>2</v>
      </c>
      <c r="C1306" s="17">
        <v>630</v>
      </c>
      <c r="D1306" s="15">
        <f>240.752565-7.74-21-10.5</f>
        <v>201.512565</v>
      </c>
    </row>
    <row r="1307" spans="1:4" x14ac:dyDescent="0.2">
      <c r="A1307" s="16">
        <v>807</v>
      </c>
      <c r="B1307" s="13">
        <v>1</v>
      </c>
      <c r="C1307" s="17">
        <v>630</v>
      </c>
      <c r="D1307" s="15">
        <f>222.1892325-9-6.06-9</f>
        <v>198.1292325</v>
      </c>
    </row>
    <row r="1308" spans="1:4" x14ac:dyDescent="0.2">
      <c r="A1308" s="16">
        <v>807</v>
      </c>
      <c r="B1308" s="13">
        <v>2</v>
      </c>
      <c r="C1308" s="17">
        <v>630</v>
      </c>
      <c r="D1308" s="15">
        <v>176.63141250000001</v>
      </c>
    </row>
    <row r="1309" spans="1:4" x14ac:dyDescent="0.2">
      <c r="A1309" s="12">
        <v>808</v>
      </c>
      <c r="B1309" s="13">
        <v>1</v>
      </c>
      <c r="C1309" s="14">
        <v>400</v>
      </c>
      <c r="D1309" s="15">
        <v>172.23446250000001</v>
      </c>
    </row>
    <row r="1310" spans="1:4" x14ac:dyDescent="0.2">
      <c r="A1310" s="12">
        <v>808</v>
      </c>
      <c r="B1310" s="13">
        <v>2</v>
      </c>
      <c r="C1310" s="14">
        <v>400</v>
      </c>
      <c r="D1310" s="15">
        <f>106.2643725-6</f>
        <v>100.26437249999999</v>
      </c>
    </row>
    <row r="1311" spans="1:4" x14ac:dyDescent="0.2">
      <c r="A1311" s="12">
        <v>809</v>
      </c>
      <c r="B1311" s="13">
        <v>1</v>
      </c>
      <c r="C1311" s="14">
        <v>400</v>
      </c>
      <c r="D1311" s="15">
        <v>110.77578</v>
      </c>
    </row>
    <row r="1312" spans="1:4" x14ac:dyDescent="0.2">
      <c r="A1312" s="12">
        <v>809</v>
      </c>
      <c r="B1312" s="13">
        <v>2</v>
      </c>
      <c r="C1312" s="14">
        <v>400</v>
      </c>
      <c r="D1312" s="15">
        <f>141.6160575-4.2-35</f>
        <v>102.41605750000002</v>
      </c>
    </row>
    <row r="1313" spans="1:4" x14ac:dyDescent="0.2">
      <c r="A1313" s="12">
        <v>810</v>
      </c>
      <c r="B1313" s="13">
        <v>1</v>
      </c>
      <c r="C1313" s="14">
        <v>400</v>
      </c>
      <c r="D1313" s="15">
        <f>121.869405-27.44</f>
        <v>94.429405000000003</v>
      </c>
    </row>
    <row r="1314" spans="1:4" x14ac:dyDescent="0.2">
      <c r="A1314" s="12">
        <v>810</v>
      </c>
      <c r="B1314" s="13">
        <v>2</v>
      </c>
      <c r="C1314" s="14">
        <v>400</v>
      </c>
      <c r="D1314" s="15">
        <f>158.3304525-23.45-70-42</f>
        <v>22.880452500000018</v>
      </c>
    </row>
    <row r="1315" spans="1:4" x14ac:dyDescent="0.2">
      <c r="A1315" s="12">
        <v>811</v>
      </c>
      <c r="B1315" s="13">
        <v>1</v>
      </c>
      <c r="C1315" s="14">
        <v>630</v>
      </c>
      <c r="D1315" s="15">
        <f>256-23.1-6</f>
        <v>226.9</v>
      </c>
    </row>
    <row r="1316" spans="1:4" x14ac:dyDescent="0.2">
      <c r="A1316" s="12">
        <v>811</v>
      </c>
      <c r="B1316" s="13">
        <v>2</v>
      </c>
      <c r="C1316" s="14">
        <v>630</v>
      </c>
      <c r="D1316" s="15">
        <v>0</v>
      </c>
    </row>
    <row r="1317" spans="1:4" x14ac:dyDescent="0.2">
      <c r="A1317" s="12">
        <v>812</v>
      </c>
      <c r="B1317" s="13">
        <v>1</v>
      </c>
      <c r="C1317" s="14">
        <v>1000</v>
      </c>
      <c r="D1317" s="15">
        <v>430.32730500000002</v>
      </c>
    </row>
    <row r="1318" spans="1:4" x14ac:dyDescent="0.2">
      <c r="A1318" s="12">
        <v>812</v>
      </c>
      <c r="B1318" s="13">
        <v>2</v>
      </c>
      <c r="C1318" s="14">
        <v>1000</v>
      </c>
      <c r="D1318" s="15">
        <v>450</v>
      </c>
    </row>
    <row r="1319" spans="1:4" x14ac:dyDescent="0.2">
      <c r="A1319" s="12">
        <v>813</v>
      </c>
      <c r="B1319" s="13">
        <v>1</v>
      </c>
      <c r="C1319" s="14">
        <v>400</v>
      </c>
      <c r="D1319" s="15">
        <f>163.6553925-68.6</f>
        <v>95.055392500000011</v>
      </c>
    </row>
    <row r="1320" spans="1:4" x14ac:dyDescent="0.2">
      <c r="A1320" s="12">
        <v>813</v>
      </c>
      <c r="B1320" s="13">
        <v>2</v>
      </c>
      <c r="C1320" s="14">
        <v>400</v>
      </c>
      <c r="D1320" s="15">
        <f>129.01863-68.6</f>
        <v>60.418630000000007</v>
      </c>
    </row>
    <row r="1321" spans="1:4" x14ac:dyDescent="0.2">
      <c r="A1321" s="12">
        <v>814</v>
      </c>
      <c r="B1321" s="13">
        <v>1</v>
      </c>
      <c r="C1321" s="14">
        <v>250</v>
      </c>
      <c r="D1321" s="15">
        <f>113-81.62</f>
        <v>31.379999999999995</v>
      </c>
    </row>
    <row r="1322" spans="1:4" x14ac:dyDescent="0.2">
      <c r="A1322" s="12">
        <v>814</v>
      </c>
      <c r="B1322" s="13">
        <v>2</v>
      </c>
      <c r="C1322" s="14">
        <v>250</v>
      </c>
      <c r="D1322" s="15">
        <v>0</v>
      </c>
    </row>
    <row r="1323" spans="1:4" x14ac:dyDescent="0.2">
      <c r="A1323" s="16">
        <v>815</v>
      </c>
      <c r="B1323" s="13">
        <v>1</v>
      </c>
      <c r="C1323" s="17">
        <v>400</v>
      </c>
      <c r="D1323" s="15">
        <v>146.94099750000001</v>
      </c>
    </row>
    <row r="1324" spans="1:4" x14ac:dyDescent="0.2">
      <c r="A1324" s="16">
        <v>815</v>
      </c>
      <c r="B1324" s="13">
        <v>2</v>
      </c>
      <c r="C1324" s="17">
        <v>400</v>
      </c>
      <c r="D1324" s="15">
        <f>161.214795-51</f>
        <v>110.21479500000001</v>
      </c>
    </row>
    <row r="1325" spans="1:4" x14ac:dyDescent="0.2">
      <c r="A1325" s="16">
        <v>816</v>
      </c>
      <c r="B1325" s="13">
        <v>1</v>
      </c>
      <c r="C1325" s="17">
        <v>400</v>
      </c>
      <c r="D1325" s="15">
        <f>180-21</f>
        <v>159</v>
      </c>
    </row>
    <row r="1326" spans="1:4" x14ac:dyDescent="0.2">
      <c r="A1326" s="16">
        <v>816</v>
      </c>
      <c r="B1326" s="13">
        <v>2</v>
      </c>
      <c r="C1326" s="17">
        <v>400</v>
      </c>
      <c r="D1326" s="15">
        <v>180</v>
      </c>
    </row>
    <row r="1327" spans="1:4" x14ac:dyDescent="0.2">
      <c r="A1327" s="16">
        <v>817</v>
      </c>
      <c r="B1327" s="13">
        <v>1</v>
      </c>
      <c r="C1327" s="17">
        <v>400</v>
      </c>
      <c r="D1327" s="15">
        <f>112.39866-7-2.1-0.7</f>
        <v>102.59866000000001</v>
      </c>
    </row>
    <row r="1328" spans="1:4" x14ac:dyDescent="0.2">
      <c r="A1328" s="16">
        <v>818</v>
      </c>
      <c r="B1328" s="13">
        <v>1</v>
      </c>
      <c r="C1328" s="17">
        <v>630</v>
      </c>
      <c r="D1328" s="15">
        <f>283.5-15-42-90</f>
        <v>136.5</v>
      </c>
    </row>
    <row r="1329" spans="1:4" x14ac:dyDescent="0.2">
      <c r="A1329" s="16">
        <v>818</v>
      </c>
      <c r="B1329" s="13">
        <v>2</v>
      </c>
      <c r="C1329" s="17">
        <v>630</v>
      </c>
      <c r="D1329" s="15">
        <f>283.5-90</f>
        <v>193.5</v>
      </c>
    </row>
    <row r="1330" spans="1:4" x14ac:dyDescent="0.2">
      <c r="A1330" s="16">
        <v>819</v>
      </c>
      <c r="B1330" s="13">
        <v>1</v>
      </c>
      <c r="C1330" s="17">
        <v>400</v>
      </c>
      <c r="D1330" s="15">
        <f>132.21927-0.39-2.75-3.5-5.5-27.5-21.45-0.55</f>
        <v>70.579270000000008</v>
      </c>
    </row>
    <row r="1331" spans="1:4" x14ac:dyDescent="0.2">
      <c r="A1331" s="12">
        <v>820</v>
      </c>
      <c r="B1331" s="13">
        <v>1</v>
      </c>
      <c r="C1331" s="14">
        <v>630</v>
      </c>
      <c r="D1331" s="15">
        <v>235.64949749999997</v>
      </c>
    </row>
    <row r="1332" spans="1:4" x14ac:dyDescent="0.2">
      <c r="A1332" s="12">
        <v>820</v>
      </c>
      <c r="B1332" s="13">
        <v>2</v>
      </c>
      <c r="C1332" s="14">
        <v>630</v>
      </c>
      <c r="D1332" s="15">
        <f>274.32927-10.5</f>
        <v>263.82927000000001</v>
      </c>
    </row>
    <row r="1333" spans="1:4" x14ac:dyDescent="0.2">
      <c r="A1333" s="16">
        <v>821</v>
      </c>
      <c r="B1333" s="13">
        <v>1</v>
      </c>
      <c r="C1333" s="17">
        <v>400</v>
      </c>
      <c r="D1333" s="15">
        <f>139.619205-7.2-0.6-9-3-9-9-0.58</f>
        <v>101.23920500000001</v>
      </c>
    </row>
    <row r="1334" spans="1:4" x14ac:dyDescent="0.2">
      <c r="A1334" s="16">
        <v>821</v>
      </c>
      <c r="B1334" s="13">
        <v>2</v>
      </c>
      <c r="C1334" s="17">
        <v>400</v>
      </c>
      <c r="D1334" s="15">
        <f>151.0826175-3.6-9-6-3.5</f>
        <v>128.9826175</v>
      </c>
    </row>
    <row r="1335" spans="1:4" x14ac:dyDescent="0.2">
      <c r="A1335" s="12">
        <v>822</v>
      </c>
      <c r="B1335" s="13">
        <v>1</v>
      </c>
      <c r="C1335" s="14">
        <v>630</v>
      </c>
      <c r="D1335" s="15">
        <f>281.577105-153.09-16.94-28-55.3</f>
        <v>28.247105000000019</v>
      </c>
    </row>
    <row r="1336" spans="1:4" x14ac:dyDescent="0.2">
      <c r="A1336" s="12">
        <v>822</v>
      </c>
      <c r="B1336" s="13">
        <v>2</v>
      </c>
      <c r="C1336" s="14">
        <v>630</v>
      </c>
      <c r="D1336" s="15">
        <f>276.7698675-153.09-4.2-55.3</f>
        <v>64.179867499999972</v>
      </c>
    </row>
    <row r="1337" spans="1:4" x14ac:dyDescent="0.2">
      <c r="A1337" s="12">
        <v>823</v>
      </c>
      <c r="B1337" s="13">
        <v>1</v>
      </c>
      <c r="C1337" s="14">
        <v>630</v>
      </c>
      <c r="D1337" s="15">
        <f>278.618805-42-59.5</f>
        <v>177.11880500000001</v>
      </c>
    </row>
    <row r="1338" spans="1:4" x14ac:dyDescent="0.2">
      <c r="A1338" s="12">
        <v>823</v>
      </c>
      <c r="B1338" s="13">
        <v>2</v>
      </c>
      <c r="C1338" s="14">
        <v>630</v>
      </c>
      <c r="D1338" s="15">
        <f>249.7014225-24.5-35</f>
        <v>190.20142250000001</v>
      </c>
    </row>
    <row r="1339" spans="1:4" x14ac:dyDescent="0.2">
      <c r="A1339" s="12">
        <v>824</v>
      </c>
      <c r="B1339" s="13">
        <v>1</v>
      </c>
      <c r="C1339" s="14">
        <v>250</v>
      </c>
      <c r="D1339" s="15">
        <v>0</v>
      </c>
    </row>
    <row r="1340" spans="1:4" x14ac:dyDescent="0.2">
      <c r="A1340" s="12">
        <v>826</v>
      </c>
      <c r="B1340" s="13">
        <v>1</v>
      </c>
      <c r="C1340" s="14">
        <v>630</v>
      </c>
      <c r="D1340" s="15">
        <v>167.01693750000001</v>
      </c>
    </row>
    <row r="1341" spans="1:4" x14ac:dyDescent="0.2">
      <c r="A1341" s="12">
        <v>826</v>
      </c>
      <c r="B1341" s="13">
        <v>2</v>
      </c>
      <c r="C1341" s="14">
        <v>630</v>
      </c>
      <c r="D1341" s="15">
        <v>283.5</v>
      </c>
    </row>
    <row r="1342" spans="1:4" x14ac:dyDescent="0.2">
      <c r="A1342" s="16">
        <v>827</v>
      </c>
      <c r="B1342" s="13">
        <v>1</v>
      </c>
      <c r="C1342" s="17">
        <v>400</v>
      </c>
      <c r="D1342" s="15">
        <v>156.92526000000001</v>
      </c>
    </row>
    <row r="1343" spans="1:4" x14ac:dyDescent="0.2">
      <c r="A1343" s="16">
        <v>827</v>
      </c>
      <c r="B1343" s="13">
        <v>2</v>
      </c>
      <c r="C1343" s="17">
        <v>400</v>
      </c>
      <c r="D1343" s="15">
        <f>119.8725525-11.9</f>
        <v>107.97255249999999</v>
      </c>
    </row>
    <row r="1344" spans="1:4" x14ac:dyDescent="0.2">
      <c r="A1344" s="16">
        <v>828</v>
      </c>
      <c r="B1344" s="13">
        <v>1</v>
      </c>
      <c r="C1344" s="17">
        <v>250</v>
      </c>
      <c r="D1344" s="15">
        <v>110.92224</v>
      </c>
    </row>
    <row r="1345" spans="1:4" x14ac:dyDescent="0.2">
      <c r="A1345" s="16">
        <v>828</v>
      </c>
      <c r="B1345" s="13">
        <v>2</v>
      </c>
      <c r="C1345" s="17">
        <v>250</v>
      </c>
      <c r="D1345" s="15">
        <v>103.69905750000001</v>
      </c>
    </row>
    <row r="1346" spans="1:4" x14ac:dyDescent="0.2">
      <c r="A1346" s="16">
        <v>829</v>
      </c>
      <c r="B1346" s="13">
        <v>1</v>
      </c>
      <c r="C1346" s="17">
        <v>400</v>
      </c>
      <c r="D1346" s="15">
        <f>170.1636525-7.2-28</f>
        <v>134.96365250000002</v>
      </c>
    </row>
    <row r="1347" spans="1:4" x14ac:dyDescent="0.2">
      <c r="A1347" s="16">
        <v>829</v>
      </c>
      <c r="B1347" s="13">
        <v>2</v>
      </c>
      <c r="C1347" s="17">
        <v>400</v>
      </c>
      <c r="D1347" s="15">
        <v>153.07947000000001</v>
      </c>
    </row>
    <row r="1348" spans="1:4" x14ac:dyDescent="0.2">
      <c r="A1348" s="16">
        <v>830</v>
      </c>
      <c r="B1348" s="13">
        <v>1</v>
      </c>
      <c r="C1348" s="17">
        <v>630</v>
      </c>
      <c r="D1348" s="15">
        <f>247.6306125-10.5</f>
        <v>237.13061250000001</v>
      </c>
    </row>
    <row r="1349" spans="1:4" x14ac:dyDescent="0.2">
      <c r="A1349" s="16">
        <v>830</v>
      </c>
      <c r="B1349" s="13">
        <v>2</v>
      </c>
      <c r="C1349" s="17">
        <v>630</v>
      </c>
      <c r="D1349" s="15">
        <v>251.25452999999999</v>
      </c>
    </row>
    <row r="1350" spans="1:4" x14ac:dyDescent="0.2">
      <c r="A1350" s="16">
        <v>831</v>
      </c>
      <c r="B1350" s="13">
        <v>1</v>
      </c>
      <c r="C1350" s="17">
        <v>320</v>
      </c>
      <c r="D1350" s="15">
        <f>125.36271-10.5</f>
        <v>114.86271000000001</v>
      </c>
    </row>
    <row r="1351" spans="1:4" x14ac:dyDescent="0.2">
      <c r="A1351" s="16">
        <v>831</v>
      </c>
      <c r="B1351" s="13">
        <v>2</v>
      </c>
      <c r="C1351" s="17">
        <v>320</v>
      </c>
      <c r="D1351" s="15">
        <v>137.639655</v>
      </c>
    </row>
    <row r="1352" spans="1:4" x14ac:dyDescent="0.2">
      <c r="A1352" s="16">
        <v>832</v>
      </c>
      <c r="B1352" s="13">
        <v>1</v>
      </c>
      <c r="C1352" s="17">
        <v>400</v>
      </c>
      <c r="D1352" s="15">
        <f>160.47522-10.5-9.03-7</f>
        <v>133.94522000000001</v>
      </c>
    </row>
    <row r="1353" spans="1:4" x14ac:dyDescent="0.2">
      <c r="A1353" s="16">
        <v>832</v>
      </c>
      <c r="B1353" s="13">
        <v>2</v>
      </c>
      <c r="C1353" s="17">
        <v>400</v>
      </c>
      <c r="D1353" s="15">
        <f>152.2659375-7-10.5-7</f>
        <v>127.76593750000001</v>
      </c>
    </row>
    <row r="1354" spans="1:4" x14ac:dyDescent="0.2">
      <c r="A1354" s="12">
        <v>833</v>
      </c>
      <c r="B1354" s="13">
        <v>1</v>
      </c>
      <c r="C1354" s="14">
        <v>630</v>
      </c>
      <c r="D1354" s="15">
        <v>0</v>
      </c>
    </row>
    <row r="1355" spans="1:4" x14ac:dyDescent="0.2">
      <c r="A1355" s="12">
        <v>833</v>
      </c>
      <c r="B1355" s="13">
        <v>2</v>
      </c>
      <c r="C1355" s="14">
        <v>630</v>
      </c>
      <c r="D1355" s="15">
        <f>246.373335-5.6-3.5-15</f>
        <v>222.273335</v>
      </c>
    </row>
    <row r="1356" spans="1:4" x14ac:dyDescent="0.2">
      <c r="A1356" s="16">
        <v>834</v>
      </c>
      <c r="B1356" s="13">
        <v>1</v>
      </c>
      <c r="C1356" s="17">
        <v>1000</v>
      </c>
      <c r="D1356" s="15">
        <f>403-127</f>
        <v>276</v>
      </c>
    </row>
    <row r="1357" spans="1:4" x14ac:dyDescent="0.2">
      <c r="A1357" s="16">
        <v>834</v>
      </c>
      <c r="B1357" s="13">
        <v>2</v>
      </c>
      <c r="C1357" s="17">
        <v>1000</v>
      </c>
      <c r="D1357" s="15">
        <f>423-127</f>
        <v>296</v>
      </c>
    </row>
    <row r="1358" spans="1:4" x14ac:dyDescent="0.2">
      <c r="A1358" s="16">
        <v>835</v>
      </c>
      <c r="B1358" s="13">
        <v>1</v>
      </c>
      <c r="C1358" s="17">
        <v>630</v>
      </c>
      <c r="D1358" s="15">
        <f>256.28364-10.5-10.5-7-10.5-10.5-10.5-10.5</f>
        <v>186.28363999999999</v>
      </c>
    </row>
    <row r="1359" spans="1:4" x14ac:dyDescent="0.2">
      <c r="A1359" s="16">
        <v>835</v>
      </c>
      <c r="B1359" s="13">
        <v>2</v>
      </c>
      <c r="C1359" s="17">
        <v>630</v>
      </c>
      <c r="D1359" s="15">
        <f>237.94218-10.5-10.5-10.5-3.5-10.5</f>
        <v>192.44218000000001</v>
      </c>
    </row>
    <row r="1360" spans="1:4" x14ac:dyDescent="0.2">
      <c r="A1360" s="16">
        <v>836</v>
      </c>
      <c r="B1360" s="13">
        <v>1</v>
      </c>
      <c r="C1360" s="17">
        <v>630</v>
      </c>
      <c r="D1360" s="15">
        <f>259.24194-38.5</f>
        <v>220.74194</v>
      </c>
    </row>
    <row r="1361" spans="1:4" x14ac:dyDescent="0.2">
      <c r="A1361" s="16">
        <v>836</v>
      </c>
      <c r="B1361" s="13">
        <v>2</v>
      </c>
      <c r="C1361" s="17">
        <v>630</v>
      </c>
      <c r="D1361" s="15">
        <v>253.10346749999999</v>
      </c>
    </row>
    <row r="1362" spans="1:4" x14ac:dyDescent="0.2">
      <c r="A1362" s="16">
        <v>837</v>
      </c>
      <c r="B1362" s="13">
        <v>1</v>
      </c>
      <c r="C1362" s="17">
        <v>630</v>
      </c>
      <c r="D1362" s="15">
        <f>284-27.16-21-21-7-28-10.5-10.5</f>
        <v>158.83999999999997</v>
      </c>
    </row>
    <row r="1363" spans="1:4" x14ac:dyDescent="0.2">
      <c r="A1363" s="16">
        <v>837</v>
      </c>
      <c r="B1363" s="13">
        <v>2</v>
      </c>
      <c r="C1363" s="17">
        <v>630</v>
      </c>
      <c r="D1363" s="15">
        <f>284-31.5-10.5-10.5</f>
        <v>231.5</v>
      </c>
    </row>
    <row r="1364" spans="1:4" x14ac:dyDescent="0.2">
      <c r="A1364" s="16">
        <v>838</v>
      </c>
      <c r="B1364" s="13">
        <v>1</v>
      </c>
      <c r="C1364" s="17">
        <v>630</v>
      </c>
      <c r="D1364" s="15">
        <f>284-10.5-10.5-10.5</f>
        <v>252.5</v>
      </c>
    </row>
    <row r="1365" spans="1:4" x14ac:dyDescent="0.2">
      <c r="A1365" s="16">
        <v>838</v>
      </c>
      <c r="B1365" s="13">
        <v>2</v>
      </c>
      <c r="C1365" s="17">
        <v>630</v>
      </c>
      <c r="D1365" s="15">
        <f>284-10.5-3.5</f>
        <v>270</v>
      </c>
    </row>
    <row r="1366" spans="1:4" x14ac:dyDescent="0.2">
      <c r="A1366" s="16">
        <v>839</v>
      </c>
      <c r="B1366" s="13">
        <v>1</v>
      </c>
      <c r="C1366" s="17">
        <v>630</v>
      </c>
      <c r="D1366" s="15">
        <f>261.31275-5-10.5-10.5-9.03-10.5-10.5-7-10.5</f>
        <v>187.78274999999999</v>
      </c>
    </row>
    <row r="1367" spans="1:4" x14ac:dyDescent="0.2">
      <c r="A1367" s="16">
        <v>839</v>
      </c>
      <c r="B1367" s="13">
        <v>2</v>
      </c>
      <c r="C1367" s="17">
        <v>630</v>
      </c>
      <c r="D1367" s="15">
        <v>0</v>
      </c>
    </row>
    <row r="1368" spans="1:4" x14ac:dyDescent="0.2">
      <c r="A1368" s="16">
        <v>840</v>
      </c>
      <c r="B1368" s="13">
        <v>1</v>
      </c>
      <c r="C1368" s="17">
        <v>630</v>
      </c>
      <c r="D1368" s="15">
        <f>274.477185-5-7</f>
        <v>262.47718500000002</v>
      </c>
    </row>
    <row r="1369" spans="1:4" x14ac:dyDescent="0.2">
      <c r="A1369" s="16">
        <v>840</v>
      </c>
      <c r="B1369" s="13">
        <v>2</v>
      </c>
      <c r="C1369" s="17">
        <v>630</v>
      </c>
      <c r="D1369" s="15">
        <f>255.10032-5</f>
        <v>250.10032000000001</v>
      </c>
    </row>
    <row r="1370" spans="1:4" x14ac:dyDescent="0.2">
      <c r="A1370" s="16">
        <v>841</v>
      </c>
      <c r="B1370" s="13">
        <v>1</v>
      </c>
      <c r="C1370" s="17">
        <v>630</v>
      </c>
      <c r="D1370" s="15">
        <f>246.1514625-1.19-10.5-10.5</f>
        <v>223.96146250000001</v>
      </c>
    </row>
    <row r="1371" spans="1:4" x14ac:dyDescent="0.2">
      <c r="A1371" s="16">
        <v>841</v>
      </c>
      <c r="B1371" s="13">
        <v>2</v>
      </c>
      <c r="C1371" s="17">
        <v>630</v>
      </c>
      <c r="D1371" s="15">
        <f>266.5637325-3.5-10.5</f>
        <v>252.56373250000001</v>
      </c>
    </row>
    <row r="1372" spans="1:4" x14ac:dyDescent="0.2">
      <c r="A1372" s="16">
        <v>842</v>
      </c>
      <c r="B1372" s="13">
        <v>1</v>
      </c>
      <c r="C1372" s="17">
        <v>630</v>
      </c>
      <c r="D1372" s="15">
        <f>233.5786875-7-34.3-17.5</f>
        <v>174.77868749999999</v>
      </c>
    </row>
    <row r="1373" spans="1:4" x14ac:dyDescent="0.2">
      <c r="A1373" s="16">
        <v>842</v>
      </c>
      <c r="B1373" s="13">
        <v>2</v>
      </c>
      <c r="C1373" s="17">
        <v>630</v>
      </c>
      <c r="D1373" s="15">
        <v>264.1970925</v>
      </c>
    </row>
    <row r="1374" spans="1:4" x14ac:dyDescent="0.2">
      <c r="A1374" s="16">
        <v>843</v>
      </c>
      <c r="B1374" s="13">
        <v>1</v>
      </c>
      <c r="C1374" s="17">
        <v>400</v>
      </c>
      <c r="D1374" s="15">
        <v>176.74587</v>
      </c>
    </row>
    <row r="1375" spans="1:4" x14ac:dyDescent="0.2">
      <c r="A1375" s="16">
        <v>843</v>
      </c>
      <c r="B1375" s="13">
        <v>2</v>
      </c>
      <c r="C1375" s="17">
        <v>400</v>
      </c>
      <c r="D1375" s="15">
        <f>128.5995375-21</f>
        <v>107.5995375</v>
      </c>
    </row>
    <row r="1376" spans="1:4" x14ac:dyDescent="0.2">
      <c r="A1376" s="16">
        <v>844</v>
      </c>
      <c r="B1376" s="13">
        <v>1</v>
      </c>
      <c r="C1376" s="17">
        <v>630</v>
      </c>
      <c r="D1376" s="15">
        <f>253.177425-10.5-7-28</f>
        <v>207.677425</v>
      </c>
    </row>
    <row r="1377" spans="1:4" x14ac:dyDescent="0.2">
      <c r="A1377" s="16">
        <v>844</v>
      </c>
      <c r="B1377" s="13">
        <v>2</v>
      </c>
      <c r="C1377" s="17">
        <v>630</v>
      </c>
      <c r="D1377" s="15">
        <f>247.31013-21-14</f>
        <v>212.31012999999999</v>
      </c>
    </row>
    <row r="1378" spans="1:4" x14ac:dyDescent="0.2">
      <c r="A1378" s="16">
        <v>845</v>
      </c>
      <c r="B1378" s="13">
        <v>1</v>
      </c>
      <c r="C1378" s="17">
        <v>400</v>
      </c>
      <c r="D1378" s="15">
        <f>180-4.2</f>
        <v>175.8</v>
      </c>
    </row>
    <row r="1379" spans="1:4" x14ac:dyDescent="0.2">
      <c r="A1379" s="16">
        <v>845</v>
      </c>
      <c r="B1379" s="13">
        <v>2</v>
      </c>
      <c r="C1379" s="17">
        <v>400</v>
      </c>
      <c r="D1379" s="15">
        <v>180</v>
      </c>
    </row>
    <row r="1380" spans="1:4" x14ac:dyDescent="0.2">
      <c r="A1380" s="16">
        <v>846</v>
      </c>
      <c r="B1380" s="13">
        <v>1</v>
      </c>
      <c r="C1380" s="17">
        <v>320</v>
      </c>
      <c r="D1380" s="15">
        <f>155.90874-11.25</f>
        <v>144.65873999999999</v>
      </c>
    </row>
    <row r="1381" spans="1:4" x14ac:dyDescent="0.2">
      <c r="A1381" s="16">
        <v>847</v>
      </c>
      <c r="B1381" s="13">
        <v>1</v>
      </c>
      <c r="C1381" s="17">
        <v>400</v>
      </c>
      <c r="D1381" s="15">
        <f>118.2454875-4.2</f>
        <v>114.04548749999999</v>
      </c>
    </row>
    <row r="1382" spans="1:4" x14ac:dyDescent="0.2">
      <c r="A1382" s="12">
        <v>847</v>
      </c>
      <c r="B1382" s="13">
        <v>2</v>
      </c>
      <c r="C1382" s="14">
        <v>400</v>
      </c>
      <c r="D1382" s="15">
        <v>161.65853999999999</v>
      </c>
    </row>
    <row r="1383" spans="1:4" x14ac:dyDescent="0.2">
      <c r="A1383" s="16">
        <v>848</v>
      </c>
      <c r="B1383" s="13">
        <v>1</v>
      </c>
      <c r="C1383" s="17">
        <v>630</v>
      </c>
      <c r="D1383" s="15">
        <v>0</v>
      </c>
    </row>
    <row r="1384" spans="1:4" x14ac:dyDescent="0.2">
      <c r="A1384" s="16">
        <v>848</v>
      </c>
      <c r="B1384" s="13">
        <v>2</v>
      </c>
      <c r="C1384" s="17">
        <v>630</v>
      </c>
      <c r="D1384" s="15">
        <v>0</v>
      </c>
    </row>
    <row r="1385" spans="1:4" x14ac:dyDescent="0.2">
      <c r="A1385" s="12">
        <v>850</v>
      </c>
      <c r="B1385" s="13">
        <v>1</v>
      </c>
      <c r="C1385" s="14">
        <v>400</v>
      </c>
      <c r="D1385" s="15">
        <f>161.36271-3.3-27-6-7.8</f>
        <v>117.26270999999998</v>
      </c>
    </row>
    <row r="1386" spans="1:4" x14ac:dyDescent="0.2">
      <c r="A1386" s="12">
        <v>850</v>
      </c>
      <c r="B1386" s="13">
        <v>2</v>
      </c>
      <c r="C1386" s="14">
        <v>400</v>
      </c>
      <c r="D1386" s="15">
        <v>141.24627000000001</v>
      </c>
    </row>
    <row r="1387" spans="1:4" x14ac:dyDescent="0.2">
      <c r="A1387" s="12">
        <v>851</v>
      </c>
      <c r="B1387" s="13">
        <v>1</v>
      </c>
      <c r="C1387" s="14">
        <v>630</v>
      </c>
      <c r="D1387" s="15">
        <f>283.5-10.5-10.5-10.5-10.5-10.5-10.5-10.5-10.5</f>
        <v>199.5</v>
      </c>
    </row>
    <row r="1388" spans="1:4" x14ac:dyDescent="0.2">
      <c r="A1388" s="12">
        <v>851</v>
      </c>
      <c r="B1388" s="13">
        <v>2</v>
      </c>
      <c r="C1388" s="14">
        <v>630</v>
      </c>
      <c r="D1388" s="15">
        <f>283.5-10.5</f>
        <v>273</v>
      </c>
    </row>
    <row r="1389" spans="1:4" x14ac:dyDescent="0.2">
      <c r="A1389" s="12">
        <v>852</v>
      </c>
      <c r="B1389" s="13">
        <v>1</v>
      </c>
      <c r="C1389" s="14">
        <v>1000</v>
      </c>
      <c r="D1389" s="15">
        <v>0</v>
      </c>
    </row>
    <row r="1390" spans="1:4" x14ac:dyDescent="0.2">
      <c r="A1390" s="12">
        <v>852</v>
      </c>
      <c r="B1390" s="13">
        <v>2</v>
      </c>
      <c r="C1390" s="14">
        <v>1000</v>
      </c>
      <c r="D1390" s="15">
        <f>450-247.27-10.5-35-10.5-10.5-7-9.52-10.5-7-10.5-13.98-24.5-14</f>
        <v>39.22999999999999</v>
      </c>
    </row>
    <row r="1391" spans="1:4" x14ac:dyDescent="0.2">
      <c r="A1391" s="12">
        <v>853</v>
      </c>
      <c r="B1391" s="13">
        <v>1</v>
      </c>
      <c r="C1391" s="14">
        <v>630</v>
      </c>
      <c r="D1391" s="15">
        <f>283.5-32.27-7-15.72</f>
        <v>228.51</v>
      </c>
    </row>
    <row r="1392" spans="1:4" x14ac:dyDescent="0.2">
      <c r="A1392" s="12">
        <v>853</v>
      </c>
      <c r="B1392" s="13">
        <v>2</v>
      </c>
      <c r="C1392" s="14">
        <v>630</v>
      </c>
      <c r="D1392" s="15">
        <v>283.5</v>
      </c>
    </row>
    <row r="1393" spans="1:4" x14ac:dyDescent="0.2">
      <c r="A1393" s="12">
        <v>854</v>
      </c>
      <c r="B1393" s="13">
        <v>1</v>
      </c>
      <c r="C1393" s="14">
        <v>400</v>
      </c>
      <c r="D1393" s="15">
        <f>118.5413175-4.9-16.8-4.2</f>
        <v>92.6413175</v>
      </c>
    </row>
    <row r="1394" spans="1:4" x14ac:dyDescent="0.2">
      <c r="A1394" s="12">
        <v>854</v>
      </c>
      <c r="B1394" s="13">
        <v>2</v>
      </c>
      <c r="C1394" s="14">
        <v>400</v>
      </c>
      <c r="D1394" s="15">
        <f>158.848155-3.5</f>
        <v>155.34815499999999</v>
      </c>
    </row>
    <row r="1395" spans="1:4" x14ac:dyDescent="0.2">
      <c r="A1395" s="12">
        <v>855</v>
      </c>
      <c r="B1395" s="13">
        <v>1</v>
      </c>
      <c r="C1395" s="14">
        <v>1000</v>
      </c>
      <c r="D1395" s="15">
        <f>450-27-24</f>
        <v>399</v>
      </c>
    </row>
    <row r="1396" spans="1:4" x14ac:dyDescent="0.2">
      <c r="A1396" s="12">
        <v>855</v>
      </c>
      <c r="B1396" s="13">
        <v>2</v>
      </c>
      <c r="C1396" s="14">
        <v>1000</v>
      </c>
      <c r="D1396" s="15">
        <f>450-9.9</f>
        <v>440.1</v>
      </c>
    </row>
    <row r="1397" spans="1:4" x14ac:dyDescent="0.2">
      <c r="A1397" s="12">
        <v>856</v>
      </c>
      <c r="B1397" s="13">
        <v>1</v>
      </c>
      <c r="C1397" s="14">
        <v>400</v>
      </c>
      <c r="D1397" s="15">
        <v>117.727785</v>
      </c>
    </row>
    <row r="1398" spans="1:4" x14ac:dyDescent="0.2">
      <c r="A1398" s="12">
        <v>856</v>
      </c>
      <c r="B1398" s="13">
        <v>2</v>
      </c>
      <c r="C1398" s="14">
        <v>400</v>
      </c>
      <c r="D1398" s="15">
        <f>148.7159775-6-5.4-7-6</f>
        <v>124.3159775</v>
      </c>
    </row>
    <row r="1399" spans="1:4" x14ac:dyDescent="0.2">
      <c r="A1399" s="12">
        <v>857</v>
      </c>
      <c r="B1399" s="13">
        <v>1</v>
      </c>
      <c r="C1399" s="14">
        <v>1000</v>
      </c>
      <c r="D1399" s="15">
        <f>450-18.9-56.7-10.5-10.5-10.5-21-10.5</f>
        <v>311.40000000000003</v>
      </c>
    </row>
    <row r="1400" spans="1:4" x14ac:dyDescent="0.2">
      <c r="A1400" s="12">
        <v>857</v>
      </c>
      <c r="B1400" s="13">
        <v>2</v>
      </c>
      <c r="C1400" s="14">
        <v>1000</v>
      </c>
      <c r="D1400" s="15">
        <f>450-10.5</f>
        <v>439.5</v>
      </c>
    </row>
    <row r="1401" spans="1:4" x14ac:dyDescent="0.2">
      <c r="A1401" s="12">
        <v>858</v>
      </c>
      <c r="B1401" s="13">
        <v>1</v>
      </c>
      <c r="C1401" s="14">
        <v>400</v>
      </c>
      <c r="D1401" s="15">
        <v>194.04773999999998</v>
      </c>
    </row>
    <row r="1402" spans="1:4" x14ac:dyDescent="0.2">
      <c r="A1402" s="12">
        <v>859</v>
      </c>
      <c r="B1402" s="13">
        <v>1</v>
      </c>
      <c r="C1402" s="14">
        <v>400</v>
      </c>
      <c r="D1402" s="15">
        <f>167.3532675-10.5-7-10.5-17.5-3</f>
        <v>118.85326749999999</v>
      </c>
    </row>
    <row r="1403" spans="1:4" x14ac:dyDescent="0.2">
      <c r="A1403" s="16">
        <v>859</v>
      </c>
      <c r="B1403" s="13">
        <v>2</v>
      </c>
      <c r="C1403" s="17">
        <v>400</v>
      </c>
      <c r="D1403" s="15">
        <f>142.9472925-35</f>
        <v>107.9472925</v>
      </c>
    </row>
    <row r="1404" spans="1:4" x14ac:dyDescent="0.2">
      <c r="A1404" s="16">
        <v>860</v>
      </c>
      <c r="B1404" s="13">
        <v>1</v>
      </c>
      <c r="C1404" s="17">
        <v>630</v>
      </c>
      <c r="D1404" s="15">
        <v>0</v>
      </c>
    </row>
    <row r="1405" spans="1:4" x14ac:dyDescent="0.2">
      <c r="A1405" s="16">
        <v>860</v>
      </c>
      <c r="B1405" s="13">
        <v>2</v>
      </c>
      <c r="C1405" s="17">
        <v>630</v>
      </c>
      <c r="D1405" s="15">
        <v>0</v>
      </c>
    </row>
    <row r="1406" spans="1:4" x14ac:dyDescent="0.2">
      <c r="A1406" s="16">
        <v>861</v>
      </c>
      <c r="B1406" s="13">
        <v>1</v>
      </c>
      <c r="C1406" s="17">
        <v>400</v>
      </c>
      <c r="D1406" s="15">
        <f>179.0385525-21-9-2.75</f>
        <v>146.28855250000001</v>
      </c>
    </row>
    <row r="1407" spans="1:4" x14ac:dyDescent="0.2">
      <c r="A1407" s="16">
        <v>861</v>
      </c>
      <c r="B1407" s="13">
        <v>2</v>
      </c>
      <c r="C1407" s="17">
        <v>630</v>
      </c>
      <c r="D1407" s="15">
        <f>204.02034-12</f>
        <v>192.02034</v>
      </c>
    </row>
    <row r="1408" spans="1:4" x14ac:dyDescent="0.2">
      <c r="A1408" s="12">
        <v>862</v>
      </c>
      <c r="B1408" s="13">
        <v>1</v>
      </c>
      <c r="C1408" s="14">
        <v>400</v>
      </c>
      <c r="D1408" s="15">
        <f>142.67193-7.7-56-24.5</f>
        <v>54.471930000000015</v>
      </c>
    </row>
    <row r="1409" spans="1:4" x14ac:dyDescent="0.2">
      <c r="A1409" s="12">
        <v>863</v>
      </c>
      <c r="B1409" s="13">
        <v>1</v>
      </c>
      <c r="C1409" s="14">
        <v>630</v>
      </c>
      <c r="D1409" s="15">
        <v>0</v>
      </c>
    </row>
    <row r="1410" spans="1:4" x14ac:dyDescent="0.2">
      <c r="A1410" s="12">
        <v>863</v>
      </c>
      <c r="B1410" s="13">
        <v>2</v>
      </c>
      <c r="C1410" s="14">
        <v>630</v>
      </c>
      <c r="D1410" s="15">
        <v>0</v>
      </c>
    </row>
    <row r="1411" spans="1:4" x14ac:dyDescent="0.2">
      <c r="A1411" s="12">
        <v>864</v>
      </c>
      <c r="B1411" s="13">
        <v>1</v>
      </c>
      <c r="C1411" s="14">
        <v>400</v>
      </c>
      <c r="D1411" s="15">
        <f>180-80.15-31.5</f>
        <v>68.349999999999994</v>
      </c>
    </row>
    <row r="1412" spans="1:4" x14ac:dyDescent="0.2">
      <c r="A1412" s="12">
        <v>864</v>
      </c>
      <c r="B1412" s="13">
        <v>2</v>
      </c>
      <c r="C1412" s="14">
        <v>400</v>
      </c>
      <c r="D1412" s="15">
        <f>180-80.15-9.56-3.5</f>
        <v>86.789999999999992</v>
      </c>
    </row>
    <row r="1413" spans="1:4" x14ac:dyDescent="0.2">
      <c r="A1413" s="12">
        <v>865</v>
      </c>
      <c r="B1413" s="13">
        <v>1</v>
      </c>
      <c r="C1413" s="14">
        <v>400</v>
      </c>
      <c r="D1413" s="15">
        <f>180-12.7</f>
        <v>167.3</v>
      </c>
    </row>
    <row r="1414" spans="1:4" x14ac:dyDescent="0.2">
      <c r="A1414" s="12">
        <v>865</v>
      </c>
      <c r="B1414" s="13">
        <v>2</v>
      </c>
      <c r="C1414" s="14">
        <v>400</v>
      </c>
      <c r="D1414" s="15">
        <v>180</v>
      </c>
    </row>
    <row r="1415" spans="1:4" x14ac:dyDescent="0.2">
      <c r="A1415" s="12">
        <v>866</v>
      </c>
      <c r="B1415" s="13">
        <v>1</v>
      </c>
      <c r="C1415" s="14">
        <v>630</v>
      </c>
      <c r="D1415" s="15">
        <v>0</v>
      </c>
    </row>
    <row r="1416" spans="1:4" x14ac:dyDescent="0.2">
      <c r="A1416" s="12">
        <v>866</v>
      </c>
      <c r="B1416" s="13">
        <v>2</v>
      </c>
      <c r="C1416" s="14">
        <v>630</v>
      </c>
      <c r="D1416" s="15">
        <v>0</v>
      </c>
    </row>
    <row r="1417" spans="1:4" x14ac:dyDescent="0.2">
      <c r="A1417" s="12">
        <v>867</v>
      </c>
      <c r="B1417" s="13">
        <v>1</v>
      </c>
      <c r="C1417" s="14">
        <v>400</v>
      </c>
      <c r="D1417" s="15">
        <f>180-12.5-10.5-3.5-10.5</f>
        <v>143</v>
      </c>
    </row>
    <row r="1418" spans="1:4" x14ac:dyDescent="0.2">
      <c r="A1418" s="12">
        <v>867</v>
      </c>
      <c r="B1418" s="13">
        <v>2</v>
      </c>
      <c r="C1418" s="14">
        <v>400</v>
      </c>
      <c r="D1418" s="15">
        <v>180</v>
      </c>
    </row>
    <row r="1419" spans="1:4" x14ac:dyDescent="0.2">
      <c r="A1419" s="12">
        <v>869</v>
      </c>
      <c r="B1419" s="13">
        <v>1</v>
      </c>
      <c r="C1419" s="14">
        <v>630</v>
      </c>
      <c r="D1419" s="15">
        <v>284</v>
      </c>
    </row>
    <row r="1420" spans="1:4" x14ac:dyDescent="0.2">
      <c r="A1420" s="12">
        <v>869</v>
      </c>
      <c r="B1420" s="13">
        <v>2</v>
      </c>
      <c r="C1420" s="14">
        <v>630</v>
      </c>
      <c r="D1420" s="15">
        <v>284</v>
      </c>
    </row>
    <row r="1421" spans="1:4" x14ac:dyDescent="0.2">
      <c r="A1421" s="12">
        <v>870</v>
      </c>
      <c r="B1421" s="13">
        <v>1</v>
      </c>
      <c r="C1421" s="14">
        <v>400</v>
      </c>
      <c r="D1421" s="15">
        <f>127.78182-10.5</f>
        <v>117.28182</v>
      </c>
    </row>
    <row r="1422" spans="1:4" x14ac:dyDescent="0.2">
      <c r="A1422" s="12">
        <v>871</v>
      </c>
      <c r="B1422" s="13">
        <v>1</v>
      </c>
      <c r="C1422" s="14">
        <v>630</v>
      </c>
      <c r="D1422" s="15">
        <f>284-7-49-28</f>
        <v>200</v>
      </c>
    </row>
    <row r="1423" spans="1:4" x14ac:dyDescent="0.2">
      <c r="A1423" s="12">
        <v>871</v>
      </c>
      <c r="B1423" s="13">
        <v>2</v>
      </c>
      <c r="C1423" s="14">
        <v>630</v>
      </c>
      <c r="D1423" s="15">
        <f>284-7</f>
        <v>277</v>
      </c>
    </row>
    <row r="1424" spans="1:4" x14ac:dyDescent="0.2">
      <c r="A1424" s="16">
        <v>872</v>
      </c>
      <c r="B1424" s="13">
        <v>1</v>
      </c>
      <c r="C1424" s="17">
        <v>400</v>
      </c>
      <c r="D1424" s="15">
        <f>219.2919-10.5-10.5-10.5-8.25</f>
        <v>179.5419</v>
      </c>
    </row>
    <row r="1425" spans="1:4" x14ac:dyDescent="0.2">
      <c r="A1425" s="16">
        <v>873</v>
      </c>
      <c r="B1425" s="13">
        <v>1</v>
      </c>
      <c r="C1425" s="14">
        <v>630</v>
      </c>
      <c r="D1425" s="15">
        <f>284-9.56-7-8.61-0.29</f>
        <v>258.53999999999996</v>
      </c>
    </row>
    <row r="1426" spans="1:4" x14ac:dyDescent="0.2">
      <c r="A1426" s="16">
        <v>873</v>
      </c>
      <c r="B1426" s="13">
        <v>2</v>
      </c>
      <c r="C1426" s="14">
        <v>630</v>
      </c>
      <c r="D1426" s="15">
        <v>284</v>
      </c>
    </row>
    <row r="1427" spans="1:4" x14ac:dyDescent="0.2">
      <c r="A1427" s="12">
        <v>874</v>
      </c>
      <c r="B1427" s="13">
        <v>1</v>
      </c>
      <c r="C1427" s="14">
        <v>630</v>
      </c>
      <c r="D1427" s="15">
        <f>267.85263-3-1.8</f>
        <v>263.05262999999997</v>
      </c>
    </row>
    <row r="1428" spans="1:4" x14ac:dyDescent="0.2">
      <c r="A1428" s="12">
        <v>875</v>
      </c>
      <c r="B1428" s="13">
        <v>1</v>
      </c>
      <c r="C1428" s="14">
        <v>400</v>
      </c>
      <c r="D1428" s="15">
        <v>155.002365</v>
      </c>
    </row>
    <row r="1429" spans="1:4" x14ac:dyDescent="0.2">
      <c r="A1429" s="12">
        <v>875</v>
      </c>
      <c r="B1429" s="13">
        <v>2</v>
      </c>
      <c r="C1429" s="14">
        <v>400</v>
      </c>
      <c r="D1429" s="15">
        <v>126.3808125</v>
      </c>
    </row>
    <row r="1430" spans="1:4" x14ac:dyDescent="0.2">
      <c r="A1430" s="12">
        <v>876</v>
      </c>
      <c r="B1430" s="13">
        <v>1</v>
      </c>
      <c r="C1430" s="14">
        <v>400</v>
      </c>
      <c r="D1430" s="15">
        <v>162.47207250000002</v>
      </c>
    </row>
    <row r="1431" spans="1:4" x14ac:dyDescent="0.2">
      <c r="A1431" s="12">
        <v>876</v>
      </c>
      <c r="B1431" s="13">
        <v>2</v>
      </c>
      <c r="C1431" s="14">
        <v>400</v>
      </c>
      <c r="D1431" s="15">
        <v>144.2785275</v>
      </c>
    </row>
    <row r="1432" spans="1:4" x14ac:dyDescent="0.2">
      <c r="A1432" s="12">
        <v>877</v>
      </c>
      <c r="B1432" s="13">
        <v>1</v>
      </c>
      <c r="C1432" s="14">
        <v>400</v>
      </c>
      <c r="D1432" s="15">
        <f>146.3493375-2.1</f>
        <v>144.2493375</v>
      </c>
    </row>
    <row r="1433" spans="1:4" x14ac:dyDescent="0.2">
      <c r="A1433" s="12">
        <v>877</v>
      </c>
      <c r="B1433" s="13">
        <v>2</v>
      </c>
      <c r="C1433" s="14">
        <v>630</v>
      </c>
      <c r="D1433" s="15">
        <v>235.94532749999999</v>
      </c>
    </row>
    <row r="1434" spans="1:4" x14ac:dyDescent="0.2">
      <c r="A1434" s="12">
        <v>878</v>
      </c>
      <c r="B1434" s="13">
        <v>1</v>
      </c>
      <c r="C1434" s="14">
        <v>400</v>
      </c>
      <c r="D1434" s="15">
        <v>130.67034750000002</v>
      </c>
    </row>
    <row r="1435" spans="1:4" x14ac:dyDescent="0.2">
      <c r="A1435" s="12">
        <v>878</v>
      </c>
      <c r="B1435" s="13">
        <v>2</v>
      </c>
      <c r="C1435" s="14">
        <v>560</v>
      </c>
      <c r="D1435" s="15">
        <f>232.8450075-10.5</f>
        <v>222.34500750000001</v>
      </c>
    </row>
    <row r="1436" spans="1:4" x14ac:dyDescent="0.2">
      <c r="A1436" s="12">
        <v>879</v>
      </c>
      <c r="B1436" s="13">
        <v>1</v>
      </c>
      <c r="C1436" s="14">
        <v>1000</v>
      </c>
      <c r="D1436" s="15">
        <f>450-21.88-5.15-5.02-13.3</f>
        <v>404.65000000000003</v>
      </c>
    </row>
    <row r="1437" spans="1:4" x14ac:dyDescent="0.2">
      <c r="A1437" s="12">
        <v>879</v>
      </c>
      <c r="B1437" s="13">
        <v>2</v>
      </c>
      <c r="C1437" s="14">
        <v>1000</v>
      </c>
      <c r="D1437" s="15">
        <f>450-21.88</f>
        <v>428.12</v>
      </c>
    </row>
    <row r="1438" spans="1:4" x14ac:dyDescent="0.2">
      <c r="A1438" s="12">
        <v>880</v>
      </c>
      <c r="B1438" s="13">
        <v>1</v>
      </c>
      <c r="C1438" s="14">
        <v>1000</v>
      </c>
      <c r="D1438" s="15">
        <f>1000-670-10.5-17.5-10.5-5.25</f>
        <v>286.25</v>
      </c>
    </row>
    <row r="1439" spans="1:4" x14ac:dyDescent="0.2">
      <c r="A1439" s="12">
        <v>880</v>
      </c>
      <c r="B1439" s="13">
        <v>2</v>
      </c>
      <c r="C1439" s="14">
        <v>1000</v>
      </c>
      <c r="D1439" s="15">
        <f>1000-670-5.25</f>
        <v>324.75</v>
      </c>
    </row>
    <row r="1440" spans="1:4" x14ac:dyDescent="0.2">
      <c r="A1440" s="12">
        <v>881</v>
      </c>
      <c r="B1440" s="13">
        <v>1</v>
      </c>
      <c r="C1440" s="14">
        <v>1000</v>
      </c>
      <c r="D1440" s="15">
        <f>450-10.5-10.5-56-14-10.5-29.75-24.15</f>
        <v>294.60000000000002</v>
      </c>
    </row>
    <row r="1441" spans="1:4" x14ac:dyDescent="0.2">
      <c r="A1441" s="12">
        <v>881</v>
      </c>
      <c r="B1441" s="13">
        <v>2</v>
      </c>
      <c r="C1441" s="14">
        <v>1000</v>
      </c>
      <c r="D1441" s="15">
        <f>450-29.75-21-38.5-49-22.75</f>
        <v>289</v>
      </c>
    </row>
    <row r="1442" spans="1:4" x14ac:dyDescent="0.2">
      <c r="A1442" s="12">
        <v>882</v>
      </c>
      <c r="B1442" s="13">
        <v>1</v>
      </c>
      <c r="C1442" s="14">
        <v>630</v>
      </c>
      <c r="D1442" s="15">
        <f>284-39.77</f>
        <v>244.23</v>
      </c>
    </row>
    <row r="1443" spans="1:4" x14ac:dyDescent="0.2">
      <c r="A1443" s="12">
        <v>882</v>
      </c>
      <c r="B1443" s="13">
        <v>2</v>
      </c>
      <c r="C1443" s="14">
        <v>630</v>
      </c>
      <c r="D1443" s="15">
        <f>284-18.9-21.74-10.5</f>
        <v>232.86</v>
      </c>
    </row>
    <row r="1444" spans="1:4" x14ac:dyDescent="0.2">
      <c r="A1444" s="12">
        <v>883</v>
      </c>
      <c r="B1444" s="13">
        <v>1</v>
      </c>
      <c r="C1444" s="14">
        <v>630</v>
      </c>
      <c r="D1444" s="15">
        <f>284-18.9-256.48-3.5-4.2</f>
        <v>0.92000000000000437</v>
      </c>
    </row>
    <row r="1445" spans="1:4" x14ac:dyDescent="0.2">
      <c r="A1445" s="12">
        <v>883</v>
      </c>
      <c r="B1445" s="13">
        <v>2</v>
      </c>
      <c r="C1445" s="14">
        <v>630</v>
      </c>
      <c r="D1445" s="15">
        <v>0</v>
      </c>
    </row>
    <row r="1446" spans="1:4" x14ac:dyDescent="0.2">
      <c r="A1446" s="12">
        <v>884</v>
      </c>
      <c r="B1446" s="13">
        <v>1</v>
      </c>
      <c r="C1446" s="14">
        <v>630</v>
      </c>
      <c r="D1446" s="15">
        <f>284-21-169.77-7</f>
        <v>86.22999999999999</v>
      </c>
    </row>
    <row r="1447" spans="1:4" x14ac:dyDescent="0.2">
      <c r="A1447" s="12">
        <v>884</v>
      </c>
      <c r="B1447" s="13">
        <v>2</v>
      </c>
      <c r="C1447" s="14">
        <v>630</v>
      </c>
      <c r="D1447" s="15">
        <f>284-53.2-169.77</f>
        <v>61.03</v>
      </c>
    </row>
    <row r="1448" spans="1:4" x14ac:dyDescent="0.2">
      <c r="A1448" s="12">
        <v>885</v>
      </c>
      <c r="B1448" s="13">
        <v>1</v>
      </c>
      <c r="C1448" s="14">
        <v>400</v>
      </c>
      <c r="D1448" s="15">
        <v>145.60976249999999</v>
      </c>
    </row>
    <row r="1449" spans="1:4" x14ac:dyDescent="0.2">
      <c r="A1449" s="12">
        <v>885</v>
      </c>
      <c r="B1449" s="13">
        <v>2</v>
      </c>
      <c r="C1449" s="14">
        <v>400</v>
      </c>
      <c r="D1449" s="15">
        <v>170.53344000000001</v>
      </c>
    </row>
    <row r="1450" spans="1:4" x14ac:dyDescent="0.2">
      <c r="A1450" s="12">
        <v>886</v>
      </c>
      <c r="B1450" s="13">
        <v>1</v>
      </c>
      <c r="C1450" s="14">
        <v>250</v>
      </c>
      <c r="D1450" s="15">
        <v>148.81667999999999</v>
      </c>
    </row>
    <row r="1451" spans="1:4" x14ac:dyDescent="0.2">
      <c r="A1451" s="12">
        <v>887</v>
      </c>
      <c r="B1451" s="13">
        <v>1</v>
      </c>
      <c r="C1451" s="14">
        <v>630</v>
      </c>
      <c r="D1451" s="15">
        <f>261-140</f>
        <v>121</v>
      </c>
    </row>
    <row r="1452" spans="1:4" x14ac:dyDescent="0.2">
      <c r="A1452" s="12">
        <v>887</v>
      </c>
      <c r="B1452" s="13">
        <v>2</v>
      </c>
      <c r="C1452" s="14">
        <v>630</v>
      </c>
      <c r="D1452" s="15">
        <f>284-140</f>
        <v>144</v>
      </c>
    </row>
    <row r="1453" spans="1:4" x14ac:dyDescent="0.2">
      <c r="A1453" s="12">
        <v>888</v>
      </c>
      <c r="B1453" s="13">
        <v>1</v>
      </c>
      <c r="C1453" s="14">
        <v>250</v>
      </c>
      <c r="D1453" s="15">
        <v>0</v>
      </c>
    </row>
    <row r="1454" spans="1:4" x14ac:dyDescent="0.2">
      <c r="A1454" s="12">
        <v>888</v>
      </c>
      <c r="B1454" s="13">
        <v>2</v>
      </c>
      <c r="C1454" s="14">
        <v>400</v>
      </c>
      <c r="D1454" s="15">
        <f>17.136125-4.25-5.1-4.25</f>
        <v>3.5361250000000002</v>
      </c>
    </row>
    <row r="1455" spans="1:4" x14ac:dyDescent="0.2">
      <c r="A1455" s="12">
        <v>889</v>
      </c>
      <c r="B1455" s="13">
        <v>1</v>
      </c>
      <c r="C1455" s="14">
        <v>250</v>
      </c>
      <c r="D1455" s="15">
        <f>75.0035475-3.5-20.65</f>
        <v>50.853547499999998</v>
      </c>
    </row>
    <row r="1456" spans="1:4" x14ac:dyDescent="0.2">
      <c r="A1456" s="12">
        <v>889</v>
      </c>
      <c r="B1456" s="13">
        <v>2</v>
      </c>
      <c r="C1456" s="14">
        <v>250</v>
      </c>
      <c r="D1456" s="15">
        <f>77.5181025-7-10.5</f>
        <v>60.018102499999998</v>
      </c>
    </row>
    <row r="1457" spans="1:4" x14ac:dyDescent="0.2">
      <c r="A1457" s="12">
        <v>890</v>
      </c>
      <c r="B1457" s="13">
        <v>1</v>
      </c>
      <c r="C1457" s="14">
        <v>250</v>
      </c>
      <c r="D1457" s="15">
        <f>91.12983-10.5-1.04-8.4</f>
        <v>71.189829999999986</v>
      </c>
    </row>
    <row r="1458" spans="1:4" x14ac:dyDescent="0.2">
      <c r="A1458" s="12">
        <v>891</v>
      </c>
      <c r="B1458" s="13">
        <v>1</v>
      </c>
      <c r="C1458" s="14">
        <v>250</v>
      </c>
      <c r="D1458" s="15">
        <f>116.4726-10.5-2.1</f>
        <v>103.87260000000001</v>
      </c>
    </row>
    <row r="1459" spans="1:4" x14ac:dyDescent="0.2">
      <c r="A1459" s="12">
        <v>892</v>
      </c>
      <c r="B1459" s="13">
        <v>1</v>
      </c>
      <c r="C1459" s="14">
        <v>1000</v>
      </c>
      <c r="D1459" s="15">
        <v>450</v>
      </c>
    </row>
    <row r="1460" spans="1:4" x14ac:dyDescent="0.2">
      <c r="A1460" s="12">
        <v>892</v>
      </c>
      <c r="B1460" s="13">
        <v>2</v>
      </c>
      <c r="C1460" s="14">
        <v>1000</v>
      </c>
      <c r="D1460" s="15">
        <v>450</v>
      </c>
    </row>
    <row r="1461" spans="1:4" x14ac:dyDescent="0.2">
      <c r="A1461" s="12">
        <v>893</v>
      </c>
      <c r="B1461" s="13">
        <v>1</v>
      </c>
      <c r="C1461" s="14">
        <v>1000</v>
      </c>
      <c r="D1461" s="15">
        <v>450</v>
      </c>
    </row>
    <row r="1462" spans="1:4" x14ac:dyDescent="0.2">
      <c r="A1462" s="12">
        <v>893</v>
      </c>
      <c r="B1462" s="13">
        <v>2</v>
      </c>
      <c r="C1462" s="14">
        <v>1000</v>
      </c>
      <c r="D1462" s="15">
        <v>450</v>
      </c>
    </row>
    <row r="1463" spans="1:4" x14ac:dyDescent="0.2">
      <c r="A1463" s="12">
        <v>894</v>
      </c>
      <c r="B1463" s="13">
        <v>1</v>
      </c>
      <c r="C1463" s="14">
        <v>1000</v>
      </c>
      <c r="D1463" s="15">
        <v>450</v>
      </c>
    </row>
    <row r="1464" spans="1:4" x14ac:dyDescent="0.2">
      <c r="A1464" s="12">
        <v>894</v>
      </c>
      <c r="B1464" s="13">
        <v>2</v>
      </c>
      <c r="C1464" s="14">
        <v>1000</v>
      </c>
      <c r="D1464" s="15">
        <v>450</v>
      </c>
    </row>
    <row r="1465" spans="1:4" x14ac:dyDescent="0.2">
      <c r="A1465" s="12">
        <v>895</v>
      </c>
      <c r="B1465" s="13">
        <v>1</v>
      </c>
      <c r="C1465" s="14">
        <v>1000</v>
      </c>
      <c r="D1465" s="15">
        <v>0</v>
      </c>
    </row>
    <row r="1466" spans="1:4" x14ac:dyDescent="0.2">
      <c r="A1466" s="12">
        <v>895</v>
      </c>
      <c r="B1466" s="13">
        <v>2</v>
      </c>
      <c r="C1466" s="14">
        <v>1000</v>
      </c>
      <c r="D1466" s="15">
        <v>0</v>
      </c>
    </row>
    <row r="1467" spans="1:4" x14ac:dyDescent="0.2">
      <c r="A1467" s="12">
        <v>896</v>
      </c>
      <c r="B1467" s="13">
        <v>1</v>
      </c>
      <c r="C1467" s="14">
        <v>400</v>
      </c>
      <c r="D1467" s="15">
        <v>0</v>
      </c>
    </row>
    <row r="1468" spans="1:4" x14ac:dyDescent="0.2">
      <c r="A1468" s="12">
        <v>896</v>
      </c>
      <c r="B1468" s="13">
        <v>2</v>
      </c>
      <c r="C1468" s="14">
        <v>400</v>
      </c>
      <c r="D1468" s="15">
        <f>180-52.5-5.25</f>
        <v>122.25</v>
      </c>
    </row>
    <row r="1469" spans="1:4" x14ac:dyDescent="0.2">
      <c r="A1469" s="12">
        <v>897</v>
      </c>
      <c r="B1469" s="13">
        <v>1</v>
      </c>
      <c r="C1469" s="14">
        <v>630</v>
      </c>
      <c r="D1469" s="15">
        <f>284-8.61-10.5-42-10.5-10.5-52.5-10.5</f>
        <v>138.88999999999999</v>
      </c>
    </row>
    <row r="1470" spans="1:4" x14ac:dyDescent="0.2">
      <c r="A1470" s="12">
        <v>897</v>
      </c>
      <c r="B1470" s="13">
        <v>2</v>
      </c>
      <c r="C1470" s="14">
        <v>630</v>
      </c>
      <c r="D1470" s="15">
        <f>284-10.5-10.5-10.5-10.5-3.5</f>
        <v>238.5</v>
      </c>
    </row>
    <row r="1471" spans="1:4" x14ac:dyDescent="0.2">
      <c r="A1471" s="12">
        <v>898</v>
      </c>
      <c r="B1471" s="13">
        <v>1</v>
      </c>
      <c r="C1471" s="14">
        <v>630</v>
      </c>
      <c r="D1471" s="15">
        <f>284-210-10.5</f>
        <v>63.5</v>
      </c>
    </row>
    <row r="1472" spans="1:4" x14ac:dyDescent="0.2">
      <c r="A1472" s="12">
        <v>898</v>
      </c>
      <c r="B1472" s="13">
        <v>2</v>
      </c>
      <c r="C1472" s="14">
        <v>630</v>
      </c>
      <c r="D1472" s="15">
        <f>284-210</f>
        <v>74</v>
      </c>
    </row>
    <row r="1473" spans="1:4" x14ac:dyDescent="0.2">
      <c r="A1473" s="12">
        <v>899</v>
      </c>
      <c r="B1473" s="13">
        <v>1</v>
      </c>
      <c r="C1473" s="14">
        <v>400</v>
      </c>
      <c r="D1473" s="15">
        <f>180-4.9-10.5-3.5-9.49</f>
        <v>151.60999999999999</v>
      </c>
    </row>
    <row r="1474" spans="1:4" x14ac:dyDescent="0.2">
      <c r="A1474" s="12">
        <v>899</v>
      </c>
      <c r="B1474" s="13">
        <v>2</v>
      </c>
      <c r="C1474" s="14">
        <v>400</v>
      </c>
      <c r="D1474" s="15">
        <f>180-10.5</f>
        <v>169.5</v>
      </c>
    </row>
    <row r="1475" spans="1:4" x14ac:dyDescent="0.2">
      <c r="A1475" s="12">
        <v>900</v>
      </c>
      <c r="B1475" s="13">
        <v>1</v>
      </c>
      <c r="C1475" s="14">
        <v>1000</v>
      </c>
      <c r="D1475" s="15">
        <f>450-10.5-35-274.5-0.41-9.42</f>
        <v>120.17</v>
      </c>
    </row>
    <row r="1476" spans="1:4" x14ac:dyDescent="0.2">
      <c r="A1476" s="12">
        <v>900</v>
      </c>
      <c r="B1476" s="13">
        <v>2</v>
      </c>
      <c r="C1476" s="14">
        <v>1000</v>
      </c>
      <c r="D1476" s="15">
        <f>450-263.8</f>
        <v>186.2</v>
      </c>
    </row>
    <row r="1477" spans="1:4" x14ac:dyDescent="0.2">
      <c r="A1477" s="12">
        <v>901</v>
      </c>
      <c r="B1477" s="13">
        <v>1</v>
      </c>
      <c r="C1477" s="14">
        <v>250</v>
      </c>
      <c r="D1477" s="15">
        <v>56.736045000000004</v>
      </c>
    </row>
    <row r="1478" spans="1:4" x14ac:dyDescent="0.2">
      <c r="A1478" s="12">
        <v>901</v>
      </c>
      <c r="B1478" s="13">
        <v>2</v>
      </c>
      <c r="C1478" s="14">
        <v>250</v>
      </c>
      <c r="D1478" s="15">
        <f>96.968925-9</f>
        <v>87.968924999999999</v>
      </c>
    </row>
    <row r="1479" spans="1:4" x14ac:dyDescent="0.2">
      <c r="A1479" s="12">
        <v>902</v>
      </c>
      <c r="B1479" s="13">
        <v>1</v>
      </c>
      <c r="C1479" s="14">
        <v>630</v>
      </c>
      <c r="D1479" s="15">
        <v>197.857215</v>
      </c>
    </row>
    <row r="1480" spans="1:4" x14ac:dyDescent="0.2">
      <c r="A1480" s="12">
        <v>902</v>
      </c>
      <c r="B1480" s="13">
        <v>2</v>
      </c>
      <c r="C1480" s="14">
        <v>400</v>
      </c>
      <c r="D1480" s="15">
        <v>119.65068000000001</v>
      </c>
    </row>
    <row r="1481" spans="1:4" x14ac:dyDescent="0.2">
      <c r="A1481" s="12">
        <v>903</v>
      </c>
      <c r="B1481" s="13">
        <v>1</v>
      </c>
      <c r="C1481" s="14">
        <v>250</v>
      </c>
      <c r="D1481" s="15">
        <f>70.935885-10.5-2.1-48</f>
        <v>10.335884999999998</v>
      </c>
    </row>
    <row r="1482" spans="1:4" x14ac:dyDescent="0.2">
      <c r="A1482" s="12">
        <v>903</v>
      </c>
      <c r="B1482" s="13">
        <v>2</v>
      </c>
      <c r="C1482" s="14">
        <v>250</v>
      </c>
      <c r="D1482" s="15">
        <f>57.327705-19.5</f>
        <v>37.827705000000002</v>
      </c>
    </row>
    <row r="1483" spans="1:4" x14ac:dyDescent="0.2">
      <c r="A1483" s="12">
        <v>904</v>
      </c>
      <c r="B1483" s="13">
        <v>1</v>
      </c>
      <c r="C1483" s="14">
        <v>400</v>
      </c>
      <c r="D1483" s="15">
        <f>148.39131-35-10.5-17.5</f>
        <v>85.391310000000004</v>
      </c>
    </row>
    <row r="1484" spans="1:4" x14ac:dyDescent="0.2">
      <c r="A1484" s="12">
        <v>905</v>
      </c>
      <c r="B1484" s="13">
        <v>1</v>
      </c>
      <c r="C1484" s="14">
        <v>400</v>
      </c>
      <c r="D1484" s="15">
        <f>172.25493-9-10.5</f>
        <v>152.75493</v>
      </c>
    </row>
    <row r="1485" spans="1:4" x14ac:dyDescent="0.2">
      <c r="A1485" s="12">
        <v>906</v>
      </c>
      <c r="B1485" s="13">
        <v>1</v>
      </c>
      <c r="C1485" s="14">
        <v>630</v>
      </c>
      <c r="D1485" s="15">
        <f>200.40339-4.9-18-7-10.5-9-7-13.8-9</f>
        <v>121.20338999999998</v>
      </c>
    </row>
    <row r="1486" spans="1:4" x14ac:dyDescent="0.2">
      <c r="A1486" s="12">
        <v>907</v>
      </c>
      <c r="B1486" s="13">
        <v>1</v>
      </c>
      <c r="C1486" s="14">
        <v>630</v>
      </c>
      <c r="D1486" s="15">
        <f>226.33782-7</f>
        <v>219.33781999999999</v>
      </c>
    </row>
    <row r="1487" spans="1:4" x14ac:dyDescent="0.2">
      <c r="A1487" s="12">
        <v>908</v>
      </c>
      <c r="B1487" s="13">
        <v>1</v>
      </c>
      <c r="C1487" s="14">
        <v>250</v>
      </c>
      <c r="D1487" s="15">
        <v>90.3867075</v>
      </c>
    </row>
    <row r="1488" spans="1:4" x14ac:dyDescent="0.2">
      <c r="A1488" s="12">
        <v>908</v>
      </c>
      <c r="B1488" s="13">
        <v>2</v>
      </c>
      <c r="C1488" s="14">
        <v>250</v>
      </c>
      <c r="D1488" s="15">
        <v>88.611727500000001</v>
      </c>
    </row>
    <row r="1489" spans="1:4" x14ac:dyDescent="0.2">
      <c r="A1489" s="12">
        <v>909</v>
      </c>
      <c r="B1489" s="13">
        <v>1</v>
      </c>
      <c r="C1489" s="14">
        <v>400</v>
      </c>
      <c r="D1489" s="15">
        <f>171-4.9-17.5</f>
        <v>148.6</v>
      </c>
    </row>
    <row r="1490" spans="1:4" x14ac:dyDescent="0.2">
      <c r="A1490" s="12">
        <v>910</v>
      </c>
      <c r="B1490" s="13">
        <v>1</v>
      </c>
      <c r="C1490" s="14">
        <v>630</v>
      </c>
      <c r="D1490" s="15">
        <f>252.63507-21-3.6-9</f>
        <v>219.03507000000002</v>
      </c>
    </row>
    <row r="1491" spans="1:4" x14ac:dyDescent="0.2">
      <c r="A1491" s="12">
        <v>910</v>
      </c>
      <c r="B1491" s="13">
        <v>2</v>
      </c>
      <c r="C1491" s="14">
        <v>630</v>
      </c>
      <c r="D1491" s="15">
        <f>266.24325-24-9</f>
        <v>233.24324999999999</v>
      </c>
    </row>
    <row r="1492" spans="1:4" x14ac:dyDescent="0.2">
      <c r="A1492" s="12">
        <v>911</v>
      </c>
      <c r="B1492" s="13">
        <v>1</v>
      </c>
      <c r="C1492" s="14">
        <v>250</v>
      </c>
      <c r="D1492" s="15">
        <f>78.50775-7.35-7-10.5-10.5-10.5-3.5</f>
        <v>29.157750000000007</v>
      </c>
    </row>
    <row r="1493" spans="1:4" x14ac:dyDescent="0.2">
      <c r="A1493" s="12">
        <v>912</v>
      </c>
      <c r="B1493" s="13">
        <v>1</v>
      </c>
      <c r="C1493" s="14">
        <v>400</v>
      </c>
      <c r="D1493" s="15">
        <v>0</v>
      </c>
    </row>
    <row r="1494" spans="1:4" x14ac:dyDescent="0.2">
      <c r="A1494" s="12">
        <v>913</v>
      </c>
      <c r="B1494" s="13">
        <v>1</v>
      </c>
      <c r="C1494" s="14">
        <v>630</v>
      </c>
      <c r="D1494" s="15">
        <v>284</v>
      </c>
    </row>
    <row r="1495" spans="1:4" x14ac:dyDescent="0.2">
      <c r="A1495" s="12">
        <v>913</v>
      </c>
      <c r="B1495" s="13">
        <v>2</v>
      </c>
      <c r="C1495" s="14">
        <v>630</v>
      </c>
      <c r="D1495" s="15">
        <v>284</v>
      </c>
    </row>
    <row r="1496" spans="1:4" x14ac:dyDescent="0.2">
      <c r="A1496" s="12">
        <v>914</v>
      </c>
      <c r="B1496" s="13">
        <v>1</v>
      </c>
      <c r="C1496" s="14">
        <v>400</v>
      </c>
      <c r="D1496" s="15">
        <f>167.6490975-3.3-135</f>
        <v>29.349097499999999</v>
      </c>
    </row>
    <row r="1497" spans="1:4" x14ac:dyDescent="0.2">
      <c r="A1497" s="12">
        <v>914</v>
      </c>
      <c r="B1497" s="13">
        <v>2</v>
      </c>
      <c r="C1497" s="14">
        <v>400</v>
      </c>
      <c r="D1497" s="15">
        <f>133.7765625-9-39</f>
        <v>85.776562500000011</v>
      </c>
    </row>
    <row r="1498" spans="1:4" x14ac:dyDescent="0.2">
      <c r="A1498" s="12">
        <v>915</v>
      </c>
      <c r="B1498" s="13">
        <v>1</v>
      </c>
      <c r="C1498" s="14">
        <v>400</v>
      </c>
      <c r="D1498" s="15">
        <v>136.29111750000001</v>
      </c>
    </row>
    <row r="1499" spans="1:4" x14ac:dyDescent="0.2">
      <c r="A1499" s="12">
        <v>915</v>
      </c>
      <c r="B1499" s="13">
        <v>2</v>
      </c>
      <c r="C1499" s="14">
        <v>400</v>
      </c>
      <c r="D1499" s="15">
        <v>119.35485</v>
      </c>
    </row>
    <row r="1500" spans="1:4" x14ac:dyDescent="0.2">
      <c r="A1500" s="12">
        <v>916</v>
      </c>
      <c r="B1500" s="13">
        <v>1</v>
      </c>
      <c r="C1500" s="14">
        <v>250</v>
      </c>
      <c r="D1500" s="15">
        <v>150</v>
      </c>
    </row>
    <row r="1501" spans="1:4" x14ac:dyDescent="0.2">
      <c r="A1501" s="12">
        <v>917</v>
      </c>
      <c r="B1501" s="13">
        <v>1</v>
      </c>
      <c r="C1501" s="14">
        <v>1000</v>
      </c>
      <c r="D1501" s="15">
        <v>450</v>
      </c>
    </row>
    <row r="1502" spans="1:4" x14ac:dyDescent="0.2">
      <c r="A1502" s="12">
        <v>917</v>
      </c>
      <c r="B1502" s="13">
        <v>2</v>
      </c>
      <c r="C1502" s="14">
        <v>1000</v>
      </c>
      <c r="D1502" s="15">
        <v>450</v>
      </c>
    </row>
    <row r="1503" spans="1:4" x14ac:dyDescent="0.2">
      <c r="A1503" s="12">
        <v>918</v>
      </c>
      <c r="B1503" s="13">
        <v>1</v>
      </c>
      <c r="C1503" s="14">
        <v>250</v>
      </c>
      <c r="D1503" s="15">
        <f>99-70</f>
        <v>29</v>
      </c>
    </row>
    <row r="1504" spans="1:4" x14ac:dyDescent="0.2">
      <c r="A1504" s="18">
        <v>918</v>
      </c>
      <c r="B1504" s="19">
        <v>2</v>
      </c>
      <c r="C1504" s="20">
        <v>400</v>
      </c>
      <c r="D1504" s="15">
        <f>164-10.5</f>
        <v>153.5</v>
      </c>
    </row>
    <row r="1505" spans="1:4" x14ac:dyDescent="0.2">
      <c r="A1505" s="12">
        <v>919</v>
      </c>
      <c r="B1505" s="13">
        <v>1</v>
      </c>
      <c r="C1505" s="14">
        <v>400</v>
      </c>
      <c r="D1505" s="15">
        <v>150.26908500000002</v>
      </c>
    </row>
    <row r="1506" spans="1:4" x14ac:dyDescent="0.2">
      <c r="A1506" s="12">
        <v>919</v>
      </c>
      <c r="B1506" s="13">
        <v>2</v>
      </c>
      <c r="C1506" s="14">
        <v>400</v>
      </c>
      <c r="D1506" s="15">
        <f>135.5515425-10.5-24.5-14</f>
        <v>86.551542500000011</v>
      </c>
    </row>
    <row r="1507" spans="1:4" x14ac:dyDescent="0.2">
      <c r="A1507" s="12">
        <v>920</v>
      </c>
      <c r="B1507" s="13">
        <v>1</v>
      </c>
      <c r="C1507" s="14">
        <v>1000</v>
      </c>
      <c r="D1507" s="15">
        <v>381.88514250000003</v>
      </c>
    </row>
    <row r="1508" spans="1:4" x14ac:dyDescent="0.2">
      <c r="A1508" s="12">
        <v>920</v>
      </c>
      <c r="B1508" s="13">
        <v>2</v>
      </c>
      <c r="C1508" s="14">
        <v>1000</v>
      </c>
      <c r="D1508" s="15">
        <v>405.69945749999999</v>
      </c>
    </row>
    <row r="1509" spans="1:4" x14ac:dyDescent="0.2">
      <c r="A1509" s="12">
        <v>921</v>
      </c>
      <c r="B1509" s="13">
        <v>1</v>
      </c>
      <c r="C1509" s="14">
        <v>630</v>
      </c>
      <c r="D1509" s="15">
        <f>284-10.5</f>
        <v>273.5</v>
      </c>
    </row>
    <row r="1510" spans="1:4" x14ac:dyDescent="0.2">
      <c r="A1510" s="12">
        <v>921</v>
      </c>
      <c r="B1510" s="13">
        <v>2</v>
      </c>
      <c r="C1510" s="14">
        <v>630</v>
      </c>
      <c r="D1510" s="15">
        <v>284</v>
      </c>
    </row>
    <row r="1511" spans="1:4" x14ac:dyDescent="0.2">
      <c r="A1511" s="12">
        <v>922</v>
      </c>
      <c r="B1511" s="13">
        <v>1</v>
      </c>
      <c r="C1511" s="14">
        <v>630</v>
      </c>
      <c r="D1511" s="15">
        <v>284</v>
      </c>
    </row>
    <row r="1512" spans="1:4" x14ac:dyDescent="0.2">
      <c r="A1512" s="12">
        <v>922</v>
      </c>
      <c r="B1512" s="13">
        <v>2</v>
      </c>
      <c r="C1512" s="14">
        <v>630</v>
      </c>
      <c r="D1512" s="15">
        <v>284</v>
      </c>
    </row>
    <row r="1513" spans="1:4" x14ac:dyDescent="0.2">
      <c r="A1513" s="12">
        <v>923</v>
      </c>
      <c r="B1513" s="13">
        <v>1</v>
      </c>
      <c r="C1513" s="14">
        <v>250</v>
      </c>
      <c r="D1513" s="15">
        <f>143.59035-49</f>
        <v>94.590350000000001</v>
      </c>
    </row>
    <row r="1514" spans="1:4" x14ac:dyDescent="0.2">
      <c r="A1514" s="12">
        <v>924</v>
      </c>
      <c r="B1514" s="13">
        <v>1</v>
      </c>
      <c r="C1514" s="14">
        <v>320</v>
      </c>
      <c r="D1514" s="15">
        <f>38.536605-3.5-0.32-0.7</f>
        <v>34.016604999999998</v>
      </c>
    </row>
    <row r="1515" spans="1:4" x14ac:dyDescent="0.2">
      <c r="A1515" s="12">
        <v>924</v>
      </c>
      <c r="B1515" s="13">
        <v>2</v>
      </c>
      <c r="C1515" s="14">
        <v>320</v>
      </c>
      <c r="D1515" s="15">
        <f>66.8623275-10.5-3.5</f>
        <v>52.862327500000006</v>
      </c>
    </row>
    <row r="1516" spans="1:4" x14ac:dyDescent="0.2">
      <c r="A1516" s="16">
        <v>925</v>
      </c>
      <c r="B1516" s="13">
        <v>1</v>
      </c>
      <c r="C1516" s="17">
        <v>400</v>
      </c>
      <c r="D1516" s="15">
        <f>103.97169-13.2-14-8.4-9-3.3</f>
        <v>56.07168999999999</v>
      </c>
    </row>
    <row r="1517" spans="1:4" x14ac:dyDescent="0.2">
      <c r="A1517" s="16">
        <v>925</v>
      </c>
      <c r="B1517" s="13">
        <v>2</v>
      </c>
      <c r="C1517" s="17">
        <v>400</v>
      </c>
      <c r="D1517" s="15">
        <f>123.1266825-15-4.2</f>
        <v>103.9266825</v>
      </c>
    </row>
    <row r="1518" spans="1:4" x14ac:dyDescent="0.2">
      <c r="A1518" s="12">
        <v>926</v>
      </c>
      <c r="B1518" s="13">
        <v>1</v>
      </c>
      <c r="C1518" s="14">
        <v>400</v>
      </c>
      <c r="D1518" s="15">
        <v>183.00341999999998</v>
      </c>
    </row>
    <row r="1519" spans="1:4" x14ac:dyDescent="0.2">
      <c r="A1519" s="12">
        <v>927</v>
      </c>
      <c r="B1519" s="13">
        <v>1</v>
      </c>
      <c r="C1519" s="14">
        <v>400</v>
      </c>
      <c r="D1519" s="15">
        <f>168.1668-12-7.5</f>
        <v>148.66679999999999</v>
      </c>
    </row>
    <row r="1520" spans="1:4" x14ac:dyDescent="0.2">
      <c r="A1520" s="12">
        <v>927</v>
      </c>
      <c r="B1520" s="13">
        <v>2</v>
      </c>
      <c r="C1520" s="14">
        <v>400</v>
      </c>
      <c r="D1520" s="15">
        <f>160.2533475-3-12-6-7.5</f>
        <v>131.75334749999999</v>
      </c>
    </row>
    <row r="1521" spans="1:4" x14ac:dyDescent="0.2">
      <c r="A1521" s="12">
        <v>928</v>
      </c>
      <c r="B1521" s="13">
        <v>1</v>
      </c>
      <c r="C1521" s="14">
        <v>400</v>
      </c>
      <c r="D1521" s="15">
        <f>112.25493-12-9</f>
        <v>91.254930000000002</v>
      </c>
    </row>
    <row r="1522" spans="1:4" x14ac:dyDescent="0.2">
      <c r="A1522" s="12">
        <v>928</v>
      </c>
      <c r="B1522" s="13">
        <v>2</v>
      </c>
      <c r="C1522" s="14">
        <v>400</v>
      </c>
      <c r="D1522" s="15">
        <v>148.86389249999999</v>
      </c>
    </row>
    <row r="1523" spans="1:4" x14ac:dyDescent="0.2">
      <c r="A1523" s="12">
        <v>929</v>
      </c>
      <c r="B1523" s="13">
        <v>1</v>
      </c>
      <c r="C1523" s="14">
        <v>400</v>
      </c>
      <c r="D1523" s="15">
        <f>149.6034675-13.8</f>
        <v>135.80346749999998</v>
      </c>
    </row>
    <row r="1524" spans="1:4" x14ac:dyDescent="0.2">
      <c r="A1524" s="12">
        <v>929</v>
      </c>
      <c r="B1524" s="13">
        <v>2</v>
      </c>
      <c r="C1524" s="14">
        <v>400</v>
      </c>
      <c r="D1524" s="15">
        <f>169.498035-9-1.8</f>
        <v>158.69803499999998</v>
      </c>
    </row>
    <row r="1525" spans="1:4" x14ac:dyDescent="0.2">
      <c r="A1525" s="12">
        <v>930</v>
      </c>
      <c r="B1525" s="13">
        <v>1</v>
      </c>
      <c r="C1525" s="14">
        <v>400</v>
      </c>
      <c r="D1525" s="15">
        <f>144.056655-6-3.6-108-5.4</f>
        <v>21.056655000000013</v>
      </c>
    </row>
    <row r="1526" spans="1:4" x14ac:dyDescent="0.2">
      <c r="A1526" s="12">
        <v>930</v>
      </c>
      <c r="B1526" s="13">
        <v>2</v>
      </c>
      <c r="C1526" s="14">
        <v>400</v>
      </c>
      <c r="D1526" s="15">
        <f>126.45477-6.9</f>
        <v>119.55476999999999</v>
      </c>
    </row>
    <row r="1527" spans="1:4" x14ac:dyDescent="0.2">
      <c r="A1527" s="12">
        <v>931</v>
      </c>
      <c r="B1527" s="13">
        <v>1</v>
      </c>
      <c r="C1527" s="14">
        <v>630</v>
      </c>
      <c r="D1527" s="15">
        <v>257.0971725</v>
      </c>
    </row>
    <row r="1528" spans="1:4" x14ac:dyDescent="0.2">
      <c r="A1528" s="12">
        <v>931</v>
      </c>
      <c r="B1528" s="13">
        <v>2</v>
      </c>
      <c r="C1528" s="14">
        <v>630</v>
      </c>
      <c r="D1528" s="15">
        <v>267.7470525</v>
      </c>
    </row>
    <row r="1529" spans="1:4" x14ac:dyDescent="0.2">
      <c r="A1529" s="12">
        <v>932</v>
      </c>
      <c r="B1529" s="13">
        <v>1</v>
      </c>
      <c r="C1529" s="14">
        <v>400</v>
      </c>
      <c r="D1529" s="15">
        <f>156.481515-7.7</f>
        <v>148.78151500000001</v>
      </c>
    </row>
    <row r="1530" spans="1:4" x14ac:dyDescent="0.2">
      <c r="A1530" s="12">
        <v>932</v>
      </c>
      <c r="B1530" s="13">
        <v>2</v>
      </c>
      <c r="C1530" s="14">
        <v>400</v>
      </c>
      <c r="D1530" s="15">
        <v>153.67113000000001</v>
      </c>
    </row>
    <row r="1531" spans="1:4" x14ac:dyDescent="0.2">
      <c r="A1531" s="12">
        <v>933</v>
      </c>
      <c r="B1531" s="13">
        <v>1</v>
      </c>
      <c r="C1531" s="14">
        <v>400</v>
      </c>
      <c r="D1531" s="15">
        <f>144.8701875-10.5-6.4</f>
        <v>127.97018749999998</v>
      </c>
    </row>
    <row r="1532" spans="1:4" x14ac:dyDescent="0.2">
      <c r="A1532" s="12">
        <v>933</v>
      </c>
      <c r="B1532" s="13">
        <v>2</v>
      </c>
      <c r="C1532" s="14">
        <v>400</v>
      </c>
      <c r="D1532" s="15">
        <v>175.710465</v>
      </c>
    </row>
    <row r="1533" spans="1:4" x14ac:dyDescent="0.2">
      <c r="A1533" s="12">
        <v>934</v>
      </c>
      <c r="B1533" s="13">
        <v>1</v>
      </c>
      <c r="C1533" s="14">
        <v>400</v>
      </c>
      <c r="D1533" s="15">
        <v>0</v>
      </c>
    </row>
    <row r="1534" spans="1:4" x14ac:dyDescent="0.2">
      <c r="A1534" s="12">
        <v>934</v>
      </c>
      <c r="B1534" s="13">
        <v>2</v>
      </c>
      <c r="C1534" s="14">
        <v>400</v>
      </c>
      <c r="D1534" s="15">
        <v>0</v>
      </c>
    </row>
    <row r="1535" spans="1:4" x14ac:dyDescent="0.2">
      <c r="A1535" s="12">
        <v>935</v>
      </c>
      <c r="B1535" s="13">
        <v>1</v>
      </c>
      <c r="C1535" s="14">
        <v>400</v>
      </c>
      <c r="D1535" s="15">
        <v>0</v>
      </c>
    </row>
    <row r="1536" spans="1:4" x14ac:dyDescent="0.2">
      <c r="A1536" s="12">
        <v>936</v>
      </c>
      <c r="B1536" s="13">
        <v>1</v>
      </c>
      <c r="C1536" s="14">
        <v>250</v>
      </c>
      <c r="D1536" s="15">
        <f>150-36-1.4</f>
        <v>112.6</v>
      </c>
    </row>
    <row r="1537" spans="1:4" x14ac:dyDescent="0.2">
      <c r="A1537" s="12">
        <v>937</v>
      </c>
      <c r="B1537" s="13">
        <v>1</v>
      </c>
      <c r="C1537" s="14">
        <v>250</v>
      </c>
      <c r="D1537" s="15">
        <v>0</v>
      </c>
    </row>
    <row r="1538" spans="1:4" x14ac:dyDescent="0.2">
      <c r="A1538" s="12">
        <v>938</v>
      </c>
      <c r="B1538" s="13">
        <v>1</v>
      </c>
      <c r="C1538" s="14">
        <v>400</v>
      </c>
      <c r="D1538" s="15">
        <v>0</v>
      </c>
    </row>
    <row r="1539" spans="1:4" x14ac:dyDescent="0.2">
      <c r="A1539" s="12">
        <v>939</v>
      </c>
      <c r="B1539" s="13">
        <v>1</v>
      </c>
      <c r="C1539" s="14">
        <v>400</v>
      </c>
      <c r="D1539" s="15">
        <v>0</v>
      </c>
    </row>
    <row r="1540" spans="1:4" x14ac:dyDescent="0.2">
      <c r="A1540" s="12">
        <v>940</v>
      </c>
      <c r="B1540" s="13">
        <v>1</v>
      </c>
      <c r="C1540" s="14">
        <v>250</v>
      </c>
      <c r="D1540" s="15">
        <f>150-49</f>
        <v>101</v>
      </c>
    </row>
    <row r="1541" spans="1:4" x14ac:dyDescent="0.2">
      <c r="A1541" s="12">
        <v>941</v>
      </c>
      <c r="B1541" s="13">
        <v>1</v>
      </c>
      <c r="C1541" s="14">
        <v>250</v>
      </c>
      <c r="D1541" s="15">
        <v>0</v>
      </c>
    </row>
    <row r="1542" spans="1:4" x14ac:dyDescent="0.2">
      <c r="A1542" s="12">
        <v>942</v>
      </c>
      <c r="B1542" s="13">
        <v>1</v>
      </c>
      <c r="C1542" s="14">
        <v>400</v>
      </c>
      <c r="D1542" s="15">
        <f>240-10.5-10.5</f>
        <v>219</v>
      </c>
    </row>
    <row r="1543" spans="1:4" x14ac:dyDescent="0.2">
      <c r="A1543" s="12">
        <v>943</v>
      </c>
      <c r="B1543" s="13">
        <v>1</v>
      </c>
      <c r="C1543" s="14">
        <v>400</v>
      </c>
      <c r="D1543" s="15">
        <f>114.5476125-31.5-3.5-6.3-908</f>
        <v>-834.75238749999994</v>
      </c>
    </row>
    <row r="1544" spans="1:4" x14ac:dyDescent="0.2">
      <c r="A1544" s="12">
        <v>943</v>
      </c>
      <c r="B1544" s="13">
        <v>2</v>
      </c>
      <c r="C1544" s="14">
        <v>400</v>
      </c>
      <c r="D1544" s="15">
        <f>89.623935-6.3</f>
        <v>83.323935000000006</v>
      </c>
    </row>
    <row r="1545" spans="1:4" x14ac:dyDescent="0.2">
      <c r="A1545" s="12">
        <v>944</v>
      </c>
      <c r="B1545" s="13">
        <v>1</v>
      </c>
      <c r="C1545" s="14">
        <v>630</v>
      </c>
      <c r="D1545" s="15">
        <f>267-96.5</f>
        <v>170.5</v>
      </c>
    </row>
    <row r="1546" spans="1:4" x14ac:dyDescent="0.2">
      <c r="A1546" s="12">
        <v>944</v>
      </c>
      <c r="B1546" s="13">
        <v>2</v>
      </c>
      <c r="C1546" s="14">
        <v>630</v>
      </c>
      <c r="D1546" s="15">
        <f>258-96.5</f>
        <v>161.5</v>
      </c>
    </row>
    <row r="1547" spans="1:4" x14ac:dyDescent="0.2">
      <c r="A1547" s="12">
        <v>945</v>
      </c>
      <c r="B1547" s="13">
        <v>1</v>
      </c>
      <c r="C1547" s="14">
        <v>320</v>
      </c>
      <c r="D1547" s="15">
        <f>125.510625-0.14-99.19</f>
        <v>26.180625000000006</v>
      </c>
    </row>
    <row r="1548" spans="1:4" x14ac:dyDescent="0.2">
      <c r="A1548" s="12">
        <v>945</v>
      </c>
      <c r="B1548" s="13">
        <v>2</v>
      </c>
      <c r="C1548" s="14">
        <v>400</v>
      </c>
      <c r="D1548" s="15">
        <f>147-0.14-99.19-1.2-0.7</f>
        <v>45.77000000000001</v>
      </c>
    </row>
    <row r="1549" spans="1:4" x14ac:dyDescent="0.2">
      <c r="A1549" s="12">
        <v>946</v>
      </c>
      <c r="B1549" s="13">
        <v>1</v>
      </c>
      <c r="C1549" s="14">
        <v>250</v>
      </c>
      <c r="D1549" s="15">
        <v>0</v>
      </c>
    </row>
    <row r="1550" spans="1:4" x14ac:dyDescent="0.2">
      <c r="A1550" s="12">
        <v>947</v>
      </c>
      <c r="B1550" s="13">
        <v>1</v>
      </c>
      <c r="C1550" s="14">
        <v>250</v>
      </c>
      <c r="D1550" s="15">
        <v>0</v>
      </c>
    </row>
    <row r="1551" spans="1:4" x14ac:dyDescent="0.2">
      <c r="A1551" s="12">
        <v>948</v>
      </c>
      <c r="B1551" s="13">
        <v>1</v>
      </c>
      <c r="C1551" s="14">
        <v>250</v>
      </c>
      <c r="D1551" s="15">
        <v>0</v>
      </c>
    </row>
    <row r="1552" spans="1:4" x14ac:dyDescent="0.2">
      <c r="A1552" s="12">
        <v>949</v>
      </c>
      <c r="B1552" s="13">
        <v>1</v>
      </c>
      <c r="C1552" s="14">
        <v>100</v>
      </c>
      <c r="D1552" s="15">
        <v>60</v>
      </c>
    </row>
    <row r="1553" spans="1:4" x14ac:dyDescent="0.2">
      <c r="A1553" s="12">
        <v>950</v>
      </c>
      <c r="B1553" s="13">
        <v>1</v>
      </c>
      <c r="C1553" s="14">
        <v>400</v>
      </c>
      <c r="D1553" s="15">
        <f>136.8827775-9-13-9-9-9</f>
        <v>87.882777500000003</v>
      </c>
    </row>
    <row r="1554" spans="1:4" x14ac:dyDescent="0.2">
      <c r="A1554" s="12">
        <v>950</v>
      </c>
      <c r="B1554" s="13">
        <v>2</v>
      </c>
      <c r="C1554" s="14">
        <v>400</v>
      </c>
      <c r="D1554" s="15">
        <f>135.6255-9</f>
        <v>126.62549999999999</v>
      </c>
    </row>
    <row r="1555" spans="1:4" x14ac:dyDescent="0.2">
      <c r="A1555" s="12">
        <v>951</v>
      </c>
      <c r="B1555" s="13">
        <v>1</v>
      </c>
      <c r="C1555" s="14">
        <v>400</v>
      </c>
      <c r="D1555" s="15">
        <f>168.70497-6-3-6-9-9-19.5</f>
        <v>116.20497</v>
      </c>
    </row>
    <row r="1556" spans="1:4" x14ac:dyDescent="0.2">
      <c r="A1556" s="12">
        <v>952</v>
      </c>
      <c r="B1556" s="13">
        <v>1</v>
      </c>
      <c r="C1556" s="14">
        <v>1000</v>
      </c>
      <c r="D1556" s="15">
        <f>450-151.25-6</f>
        <v>292.75</v>
      </c>
    </row>
    <row r="1557" spans="1:4" x14ac:dyDescent="0.2">
      <c r="A1557" s="12">
        <v>952</v>
      </c>
      <c r="B1557" s="13">
        <v>2</v>
      </c>
      <c r="C1557" s="14">
        <v>1000</v>
      </c>
      <c r="D1557" s="15">
        <f>450-151.25</f>
        <v>298.75</v>
      </c>
    </row>
    <row r="1558" spans="1:4" x14ac:dyDescent="0.2">
      <c r="A1558" s="12">
        <v>953</v>
      </c>
      <c r="B1558" s="13">
        <v>1</v>
      </c>
      <c r="C1558" s="14">
        <v>630</v>
      </c>
      <c r="D1558" s="15">
        <v>272.70220499999999</v>
      </c>
    </row>
    <row r="1559" spans="1:4" x14ac:dyDescent="0.2">
      <c r="A1559" s="12">
        <v>953</v>
      </c>
      <c r="B1559" s="13">
        <v>2</v>
      </c>
      <c r="C1559" s="14">
        <v>630</v>
      </c>
      <c r="D1559" s="15">
        <f>276.1782075-38.4</f>
        <v>237.77820749999998</v>
      </c>
    </row>
    <row r="1560" spans="1:4" x14ac:dyDescent="0.2">
      <c r="A1560" s="12">
        <v>954</v>
      </c>
      <c r="B1560" s="13">
        <v>1</v>
      </c>
      <c r="C1560" s="14">
        <v>100</v>
      </c>
      <c r="D1560" s="15">
        <f>60-0.32-10.5-10.5</f>
        <v>38.68</v>
      </c>
    </row>
    <row r="1561" spans="1:4" x14ac:dyDescent="0.2">
      <c r="A1561" s="12">
        <v>955</v>
      </c>
      <c r="B1561" s="13">
        <v>1</v>
      </c>
      <c r="C1561" s="14">
        <v>250</v>
      </c>
      <c r="D1561" s="15">
        <v>0</v>
      </c>
    </row>
    <row r="1562" spans="1:4" x14ac:dyDescent="0.2">
      <c r="A1562" s="12">
        <v>956</v>
      </c>
      <c r="B1562" s="13">
        <v>1</v>
      </c>
      <c r="C1562" s="14">
        <v>400</v>
      </c>
      <c r="D1562" s="15">
        <f>182.90481-2.1</f>
        <v>180.80481</v>
      </c>
    </row>
    <row r="1563" spans="1:4" x14ac:dyDescent="0.2">
      <c r="A1563" s="12">
        <v>957</v>
      </c>
      <c r="B1563" s="13">
        <v>1</v>
      </c>
      <c r="C1563" s="14">
        <v>400</v>
      </c>
      <c r="D1563" s="15">
        <f>191.38527-9-9-18</f>
        <v>155.38526999999999</v>
      </c>
    </row>
    <row r="1564" spans="1:4" x14ac:dyDescent="0.2">
      <c r="A1564" s="27">
        <v>958</v>
      </c>
      <c r="B1564" s="28">
        <v>1</v>
      </c>
      <c r="C1564" s="14">
        <v>400</v>
      </c>
      <c r="D1564" s="15">
        <f>122.5350225-18</f>
        <v>104.5350225</v>
      </c>
    </row>
    <row r="1565" spans="1:4" x14ac:dyDescent="0.2">
      <c r="A1565" s="14">
        <v>958</v>
      </c>
      <c r="B1565" s="14">
        <v>2</v>
      </c>
      <c r="C1565" s="14">
        <v>400</v>
      </c>
      <c r="D1565" s="15">
        <f>154.9284075-8.1-7.8-75</f>
        <v>64.028407499999986</v>
      </c>
    </row>
    <row r="1566" spans="1:4" x14ac:dyDescent="0.2">
      <c r="A1566" s="14">
        <v>959</v>
      </c>
      <c r="B1566" s="14">
        <v>1</v>
      </c>
      <c r="C1566" s="14">
        <v>630</v>
      </c>
      <c r="D1566" s="15">
        <f>284-15.75</f>
        <v>268.25</v>
      </c>
    </row>
    <row r="1567" spans="1:4" x14ac:dyDescent="0.2">
      <c r="A1567" s="14">
        <v>959</v>
      </c>
      <c r="B1567" s="14">
        <v>2</v>
      </c>
      <c r="C1567" s="14">
        <v>630</v>
      </c>
      <c r="D1567" s="15">
        <f>284-15.75</f>
        <v>268.25</v>
      </c>
    </row>
    <row r="1568" spans="1:4" x14ac:dyDescent="0.2">
      <c r="A1568" s="14">
        <v>960</v>
      </c>
      <c r="B1568" s="29">
        <v>1</v>
      </c>
      <c r="C1568" s="14">
        <v>1000</v>
      </c>
      <c r="D1568" s="15">
        <f>450-25.9</f>
        <v>424.1</v>
      </c>
    </row>
    <row r="1569" spans="1:4" x14ac:dyDescent="0.2">
      <c r="A1569" s="14">
        <v>960</v>
      </c>
      <c r="B1569" s="29">
        <v>2</v>
      </c>
      <c r="C1569" s="14">
        <v>1000</v>
      </c>
      <c r="D1569" s="15">
        <f>450-25.9</f>
        <v>424.1</v>
      </c>
    </row>
    <row r="1570" spans="1:4" x14ac:dyDescent="0.2">
      <c r="A1570" s="14">
        <v>961</v>
      </c>
      <c r="B1570" s="29">
        <v>1</v>
      </c>
      <c r="C1570" s="14">
        <v>1000</v>
      </c>
      <c r="D1570" s="15">
        <f>450-99.19-3.5</f>
        <v>347.31</v>
      </c>
    </row>
    <row r="1571" spans="1:4" x14ac:dyDescent="0.2">
      <c r="A1571" s="14">
        <v>961</v>
      </c>
      <c r="B1571" s="29">
        <v>2</v>
      </c>
      <c r="C1571" s="14">
        <v>1000</v>
      </c>
      <c r="D1571" s="15">
        <f>450-99.19</f>
        <v>350.81</v>
      </c>
    </row>
    <row r="1572" spans="1:4" x14ac:dyDescent="0.2">
      <c r="A1572" s="14">
        <v>962</v>
      </c>
      <c r="B1572" s="29">
        <v>1</v>
      </c>
      <c r="C1572" s="14">
        <v>400</v>
      </c>
      <c r="D1572" s="15">
        <v>145.23997499999999</v>
      </c>
    </row>
    <row r="1573" spans="1:4" x14ac:dyDescent="0.2">
      <c r="A1573" s="14">
        <v>962</v>
      </c>
      <c r="B1573" s="29">
        <v>2</v>
      </c>
      <c r="C1573" s="14">
        <v>250</v>
      </c>
      <c r="D1573" s="15">
        <v>85.357597499999997</v>
      </c>
    </row>
    <row r="1574" spans="1:4" x14ac:dyDescent="0.2">
      <c r="A1574" s="14">
        <v>963</v>
      </c>
      <c r="B1574" s="29">
        <v>1</v>
      </c>
      <c r="C1574" s="14">
        <v>400</v>
      </c>
      <c r="D1574" s="15">
        <v>122.09127749999999</v>
      </c>
    </row>
    <row r="1575" spans="1:4" x14ac:dyDescent="0.2">
      <c r="A1575" s="14">
        <v>963</v>
      </c>
      <c r="B1575" s="29">
        <v>2</v>
      </c>
      <c r="C1575" s="14">
        <v>400</v>
      </c>
      <c r="D1575" s="15">
        <v>118.46736000000001</v>
      </c>
    </row>
    <row r="1576" spans="1:4" x14ac:dyDescent="0.2">
      <c r="A1576" s="14">
        <v>964</v>
      </c>
      <c r="B1576" s="29">
        <v>1</v>
      </c>
      <c r="C1576" s="14">
        <v>400</v>
      </c>
      <c r="D1576" s="15">
        <v>167.94492750000001</v>
      </c>
    </row>
    <row r="1577" spans="1:4" x14ac:dyDescent="0.2">
      <c r="A1577" s="14">
        <v>964</v>
      </c>
      <c r="B1577" s="29">
        <v>2</v>
      </c>
      <c r="C1577" s="14">
        <v>400</v>
      </c>
      <c r="D1577" s="15">
        <f>147.9764025-5.25</f>
        <v>142.72640250000001</v>
      </c>
    </row>
    <row r="1578" spans="1:4" x14ac:dyDescent="0.2">
      <c r="A1578" s="14">
        <v>965</v>
      </c>
      <c r="B1578" s="29">
        <v>1</v>
      </c>
      <c r="C1578" s="14">
        <v>400</v>
      </c>
      <c r="D1578" s="15">
        <f>234-7-50.5-5.25-42</f>
        <v>129.25</v>
      </c>
    </row>
    <row r="1579" spans="1:4" x14ac:dyDescent="0.2">
      <c r="A1579" s="14">
        <v>967</v>
      </c>
      <c r="B1579" s="29">
        <v>1</v>
      </c>
      <c r="C1579" s="14">
        <v>250</v>
      </c>
      <c r="D1579" s="15">
        <f>150-70</f>
        <v>80</v>
      </c>
    </row>
    <row r="1580" spans="1:4" x14ac:dyDescent="0.2">
      <c r="A1580" s="14">
        <v>968</v>
      </c>
      <c r="B1580" s="29">
        <v>1</v>
      </c>
      <c r="C1580" s="14">
        <v>630</v>
      </c>
      <c r="D1580" s="15">
        <f>197.64231-1.4-7</f>
        <v>189.24231</v>
      </c>
    </row>
    <row r="1581" spans="1:4" x14ac:dyDescent="0.2">
      <c r="A1581" s="14">
        <v>969</v>
      </c>
      <c r="B1581" s="29">
        <v>1</v>
      </c>
      <c r="C1581" s="14">
        <v>630</v>
      </c>
      <c r="D1581" s="15">
        <f>270.12066-8.4-15.4-14.7</f>
        <v>231.62066000000002</v>
      </c>
    </row>
    <row r="1582" spans="1:4" x14ac:dyDescent="0.2">
      <c r="A1582" s="14">
        <v>970</v>
      </c>
      <c r="B1582" s="29">
        <v>1</v>
      </c>
      <c r="C1582" s="14">
        <v>1000</v>
      </c>
      <c r="D1582" s="15">
        <f>450-7</f>
        <v>443</v>
      </c>
    </row>
    <row r="1583" spans="1:4" x14ac:dyDescent="0.2">
      <c r="A1583" s="14">
        <v>970</v>
      </c>
      <c r="B1583" s="29">
        <v>2</v>
      </c>
      <c r="C1583" s="14">
        <v>1000</v>
      </c>
      <c r="D1583" s="15">
        <v>450</v>
      </c>
    </row>
    <row r="1584" spans="1:4" x14ac:dyDescent="0.2">
      <c r="A1584" s="14">
        <v>971</v>
      </c>
      <c r="B1584" s="29">
        <v>1</v>
      </c>
      <c r="C1584" s="14">
        <v>1000</v>
      </c>
      <c r="D1584" s="15">
        <f>450-3.5-36.33-7.7</f>
        <v>402.47</v>
      </c>
    </row>
    <row r="1585" spans="1:4" x14ac:dyDescent="0.2">
      <c r="A1585" s="14">
        <v>971</v>
      </c>
      <c r="B1585" s="29">
        <v>2</v>
      </c>
      <c r="C1585" s="14">
        <v>1000</v>
      </c>
      <c r="D1585" s="15">
        <f>450-12.11</f>
        <v>437.89</v>
      </c>
    </row>
    <row r="1586" spans="1:4" x14ac:dyDescent="0.2">
      <c r="A1586" s="14">
        <v>972</v>
      </c>
      <c r="B1586" s="29">
        <v>1</v>
      </c>
      <c r="C1586" s="14">
        <v>250</v>
      </c>
      <c r="D1586" s="15">
        <v>150</v>
      </c>
    </row>
    <row r="1587" spans="1:4" x14ac:dyDescent="0.2">
      <c r="A1587" s="14">
        <v>973</v>
      </c>
      <c r="B1587" s="29">
        <v>1</v>
      </c>
      <c r="C1587" s="14">
        <v>630</v>
      </c>
      <c r="D1587" s="15">
        <f>284-46.75-16.5</f>
        <v>220.75</v>
      </c>
    </row>
    <row r="1588" spans="1:4" x14ac:dyDescent="0.2">
      <c r="A1588" s="14">
        <v>973</v>
      </c>
      <c r="B1588" s="29">
        <v>2</v>
      </c>
      <c r="C1588" s="14">
        <v>630</v>
      </c>
      <c r="D1588" s="15">
        <f>284-8.25</f>
        <v>275.75</v>
      </c>
    </row>
    <row r="1589" spans="1:4" x14ac:dyDescent="0.2">
      <c r="A1589" s="14">
        <v>974</v>
      </c>
      <c r="B1589" s="29">
        <v>1</v>
      </c>
      <c r="C1589" s="14">
        <v>630</v>
      </c>
      <c r="D1589" s="15">
        <f>267.4512225-8.25-8.25-41.25</f>
        <v>209.70122249999997</v>
      </c>
    </row>
    <row r="1590" spans="1:4" x14ac:dyDescent="0.2">
      <c r="A1590" s="14">
        <v>974</v>
      </c>
      <c r="B1590" s="29">
        <v>2</v>
      </c>
      <c r="C1590" s="14">
        <v>630</v>
      </c>
      <c r="D1590" s="15">
        <f>248.739975-41.25</f>
        <v>207.48997499999999</v>
      </c>
    </row>
    <row r="1591" spans="1:4" x14ac:dyDescent="0.2">
      <c r="A1591" s="14">
        <v>975</v>
      </c>
      <c r="B1591" s="29">
        <v>1</v>
      </c>
      <c r="C1591" s="14">
        <v>630</v>
      </c>
      <c r="D1591" s="15">
        <v>284</v>
      </c>
    </row>
    <row r="1592" spans="1:4" x14ac:dyDescent="0.2">
      <c r="A1592" s="14">
        <v>975</v>
      </c>
      <c r="B1592" s="29">
        <v>2</v>
      </c>
      <c r="C1592" s="14">
        <v>630</v>
      </c>
      <c r="D1592" s="15">
        <f>284-99</f>
        <v>185</v>
      </c>
    </row>
    <row r="1593" spans="1:4" x14ac:dyDescent="0.2">
      <c r="A1593" s="14">
        <v>976</v>
      </c>
      <c r="B1593" s="29">
        <v>1</v>
      </c>
      <c r="C1593" s="14">
        <v>400</v>
      </c>
      <c r="D1593" s="15">
        <f>240-8.25-82.5</f>
        <v>149.25</v>
      </c>
    </row>
    <row r="1594" spans="1:4" x14ac:dyDescent="0.2">
      <c r="A1594" s="14">
        <v>977</v>
      </c>
      <c r="B1594" s="29">
        <v>1</v>
      </c>
      <c r="C1594" s="14">
        <v>630</v>
      </c>
      <c r="D1594" s="15">
        <f>378-33</f>
        <v>345</v>
      </c>
    </row>
    <row r="1595" spans="1:4" x14ac:dyDescent="0.2">
      <c r="A1595" s="14">
        <v>978</v>
      </c>
      <c r="B1595" s="29">
        <v>1</v>
      </c>
      <c r="C1595" s="14">
        <v>250</v>
      </c>
      <c r="D1595" s="15">
        <f>113-8.25-16.5-8.25-8.25</f>
        <v>71.75</v>
      </c>
    </row>
    <row r="1596" spans="1:4" x14ac:dyDescent="0.2">
      <c r="A1596" s="14">
        <v>978</v>
      </c>
      <c r="B1596" s="29">
        <v>2</v>
      </c>
      <c r="C1596" s="14">
        <v>250</v>
      </c>
      <c r="D1596" s="15">
        <f>113-11-8.25-8.25</f>
        <v>85.5</v>
      </c>
    </row>
    <row r="1597" spans="1:4" x14ac:dyDescent="0.2">
      <c r="A1597" s="14">
        <v>979</v>
      </c>
      <c r="B1597" s="29">
        <v>1</v>
      </c>
      <c r="C1597" s="14">
        <v>160</v>
      </c>
      <c r="D1597" s="15">
        <v>96</v>
      </c>
    </row>
    <row r="1598" spans="1:4" x14ac:dyDescent="0.2">
      <c r="A1598" s="14">
        <v>980</v>
      </c>
      <c r="B1598" s="29">
        <v>1</v>
      </c>
      <c r="C1598" s="14">
        <v>160</v>
      </c>
      <c r="D1598" s="15">
        <v>96</v>
      </c>
    </row>
    <row r="1599" spans="1:4" x14ac:dyDescent="0.2">
      <c r="A1599" s="14">
        <v>981</v>
      </c>
      <c r="B1599" s="29">
        <v>1</v>
      </c>
      <c r="C1599" s="14">
        <v>400</v>
      </c>
      <c r="D1599" s="15">
        <f>240-115.5-8.25</f>
        <v>116.25</v>
      </c>
    </row>
    <row r="1600" spans="1:4" x14ac:dyDescent="0.2">
      <c r="A1600" s="14">
        <v>982</v>
      </c>
      <c r="B1600" s="29">
        <v>1</v>
      </c>
      <c r="C1600" s="14">
        <v>250</v>
      </c>
      <c r="D1600" s="15">
        <v>150</v>
      </c>
    </row>
    <row r="1601" spans="1:4" x14ac:dyDescent="0.2">
      <c r="A1601" s="14">
        <v>983</v>
      </c>
      <c r="B1601" s="29">
        <v>1</v>
      </c>
      <c r="C1601" s="14">
        <v>250</v>
      </c>
      <c r="D1601" s="15">
        <f>150-77-8.25</f>
        <v>64.75</v>
      </c>
    </row>
    <row r="1602" spans="1:4" x14ac:dyDescent="0.2">
      <c r="A1602" s="14">
        <v>984</v>
      </c>
      <c r="B1602" s="29">
        <v>1</v>
      </c>
      <c r="C1602" s="14">
        <v>1000</v>
      </c>
      <c r="D1602" s="15">
        <f>450-21.46</f>
        <v>428.54</v>
      </c>
    </row>
    <row r="1603" spans="1:4" x14ac:dyDescent="0.2">
      <c r="A1603" s="14">
        <v>984</v>
      </c>
      <c r="B1603" s="29">
        <v>2</v>
      </c>
      <c r="C1603" s="14">
        <v>1000</v>
      </c>
      <c r="D1603" s="15">
        <f>450-21.46</f>
        <v>428.54</v>
      </c>
    </row>
    <row r="1604" spans="1:4" x14ac:dyDescent="0.2">
      <c r="A1604" s="14">
        <v>985</v>
      </c>
      <c r="B1604" s="29">
        <v>1</v>
      </c>
      <c r="C1604" s="14">
        <v>630</v>
      </c>
      <c r="D1604" s="15">
        <f>284-3.77-5.25-145.25</f>
        <v>129.73000000000002</v>
      </c>
    </row>
    <row r="1605" spans="1:4" x14ac:dyDescent="0.2">
      <c r="A1605" s="14">
        <v>985</v>
      </c>
      <c r="B1605" s="29">
        <v>2</v>
      </c>
      <c r="C1605" s="14">
        <v>630</v>
      </c>
      <c r="D1605" s="15">
        <f>284-3.77-145.25</f>
        <v>134.98000000000002</v>
      </c>
    </row>
    <row r="1606" spans="1:4" x14ac:dyDescent="0.2">
      <c r="A1606" s="14">
        <v>986</v>
      </c>
      <c r="B1606" s="29">
        <v>1</v>
      </c>
      <c r="C1606" s="14">
        <v>250</v>
      </c>
      <c r="D1606" s="24">
        <v>150</v>
      </c>
    </row>
    <row r="1607" spans="1:4" x14ac:dyDescent="0.2">
      <c r="A1607" s="14">
        <v>987</v>
      </c>
      <c r="B1607" s="29">
        <v>1</v>
      </c>
      <c r="C1607" s="14">
        <v>400</v>
      </c>
      <c r="D1607" s="15">
        <f>240-165-10.5-30-16.5</f>
        <v>18</v>
      </c>
    </row>
    <row r="1608" spans="1:4" x14ac:dyDescent="0.2">
      <c r="A1608" s="14">
        <v>988</v>
      </c>
      <c r="B1608" s="29">
        <v>1</v>
      </c>
      <c r="C1608" s="14">
        <v>1000</v>
      </c>
      <c r="D1608" s="15">
        <f>450-10.5-7</f>
        <v>432.5</v>
      </c>
    </row>
    <row r="1609" spans="1:4" x14ac:dyDescent="0.2">
      <c r="A1609" s="14">
        <v>988</v>
      </c>
      <c r="B1609" s="29">
        <v>2</v>
      </c>
      <c r="C1609" s="14">
        <v>1000</v>
      </c>
      <c r="D1609" s="15">
        <v>450</v>
      </c>
    </row>
    <row r="1610" spans="1:4" x14ac:dyDescent="0.2">
      <c r="A1610" s="14">
        <v>989</v>
      </c>
      <c r="B1610" s="29">
        <v>1</v>
      </c>
      <c r="C1610" s="14">
        <v>1000</v>
      </c>
      <c r="D1610" s="15">
        <f>450-26.25-46.1</f>
        <v>377.65</v>
      </c>
    </row>
    <row r="1611" spans="1:4" x14ac:dyDescent="0.2">
      <c r="A1611" s="14">
        <v>989</v>
      </c>
      <c r="B1611" s="29">
        <v>2</v>
      </c>
      <c r="C1611" s="14">
        <v>1000</v>
      </c>
      <c r="D1611" s="15">
        <f>450-26.64</f>
        <v>423.36</v>
      </c>
    </row>
    <row r="1612" spans="1:4" x14ac:dyDescent="0.2">
      <c r="A1612" s="14">
        <v>990</v>
      </c>
      <c r="B1612" s="29">
        <v>1</v>
      </c>
      <c r="C1612" s="14">
        <v>250</v>
      </c>
      <c r="D1612" s="15">
        <v>150</v>
      </c>
    </row>
    <row r="1613" spans="1:4" x14ac:dyDescent="0.2">
      <c r="A1613" s="14">
        <v>992</v>
      </c>
      <c r="B1613" s="29">
        <v>1</v>
      </c>
      <c r="C1613" s="14">
        <v>250</v>
      </c>
      <c r="D1613" s="15">
        <f>150-8.25-5.5-8.25-2.75-5.5-8.25-8.25-5.5-8.25-8.25-5-16.5-5.5-8.25-8.25-8.25-8.25</f>
        <v>21.25</v>
      </c>
    </row>
    <row r="1614" spans="1:4" x14ac:dyDescent="0.2">
      <c r="A1614" s="14">
        <v>993</v>
      </c>
      <c r="B1614" s="29">
        <v>1</v>
      </c>
      <c r="C1614" s="14">
        <v>250</v>
      </c>
      <c r="D1614" s="15">
        <f>113-10.5-0.35</f>
        <v>102.15</v>
      </c>
    </row>
    <row r="1615" spans="1:4" x14ac:dyDescent="0.2">
      <c r="A1615" s="14">
        <v>993</v>
      </c>
      <c r="B1615" s="29">
        <v>2</v>
      </c>
      <c r="C1615" s="14">
        <v>250</v>
      </c>
      <c r="D1615" s="15">
        <f>113-10.5</f>
        <v>102.5</v>
      </c>
    </row>
    <row r="1616" spans="1:4" x14ac:dyDescent="0.2">
      <c r="A1616" s="20">
        <v>994</v>
      </c>
      <c r="B1616" s="36">
        <v>1</v>
      </c>
      <c r="C1616" s="20">
        <v>630</v>
      </c>
      <c r="D1616" s="15">
        <f>265.9720725-8.25-27.5-19.25-77</f>
        <v>133.97207250000002</v>
      </c>
    </row>
    <row r="1617" spans="1:4" x14ac:dyDescent="0.2">
      <c r="A1617" s="20">
        <v>994</v>
      </c>
      <c r="B1617" s="36">
        <v>2</v>
      </c>
      <c r="C1617" s="20">
        <v>630</v>
      </c>
      <c r="D1617" s="15">
        <f>223.0767225-8.25</f>
        <v>214.82672249999999</v>
      </c>
    </row>
    <row r="1618" spans="1:4" x14ac:dyDescent="0.2">
      <c r="A1618" s="20">
        <v>995</v>
      </c>
      <c r="B1618" s="36">
        <v>1</v>
      </c>
      <c r="C1618" s="20">
        <v>630</v>
      </c>
      <c r="D1618" s="15">
        <f>284-28.04</f>
        <v>255.96</v>
      </c>
    </row>
    <row r="1619" spans="1:4" x14ac:dyDescent="0.2">
      <c r="A1619" s="20">
        <v>995</v>
      </c>
      <c r="B1619" s="36">
        <v>2</v>
      </c>
      <c r="C1619" s="20">
        <v>630</v>
      </c>
      <c r="D1619" s="15">
        <v>284</v>
      </c>
    </row>
    <row r="1620" spans="1:4" x14ac:dyDescent="0.2">
      <c r="A1620" s="20">
        <v>997</v>
      </c>
      <c r="B1620" s="36">
        <v>1</v>
      </c>
      <c r="C1620" s="20">
        <v>250</v>
      </c>
      <c r="D1620" s="15">
        <f>150-10.5-10.5-10.5-27.16-21-31.5-10.5-17.5-10.5</f>
        <v>0.34000000000000341</v>
      </c>
    </row>
    <row r="1621" spans="1:4" x14ac:dyDescent="0.2">
      <c r="A1621" s="20">
        <v>998</v>
      </c>
      <c r="B1621" s="36">
        <v>1</v>
      </c>
      <c r="C1621" s="20">
        <v>250</v>
      </c>
      <c r="D1621" s="15">
        <f>113-96-3</f>
        <v>14</v>
      </c>
    </row>
    <row r="1622" spans="1:4" x14ac:dyDescent="0.2">
      <c r="A1622" s="20">
        <v>998</v>
      </c>
      <c r="B1622" s="36">
        <v>2</v>
      </c>
      <c r="C1622" s="20">
        <v>250</v>
      </c>
      <c r="D1622" s="15">
        <f>113-96</f>
        <v>17</v>
      </c>
    </row>
    <row r="1623" spans="1:4" x14ac:dyDescent="0.2">
      <c r="A1623" s="32">
        <v>999</v>
      </c>
      <c r="B1623" s="37">
        <v>1</v>
      </c>
      <c r="C1623" s="32">
        <v>250</v>
      </c>
      <c r="D1623" s="15">
        <v>134.81405999999998</v>
      </c>
    </row>
    <row r="1624" spans="1:4" x14ac:dyDescent="0.2">
      <c r="A1624" s="32">
        <v>1000</v>
      </c>
      <c r="B1624" s="37">
        <v>1</v>
      </c>
      <c r="C1624" s="32">
        <v>160</v>
      </c>
      <c r="D1624" s="15">
        <f>54.0283275-11-4.4-0.41-8.25-8.25-8.25-8.25</f>
        <v>5.218327500000008</v>
      </c>
    </row>
    <row r="1625" spans="1:4" x14ac:dyDescent="0.2">
      <c r="A1625" s="14">
        <v>1000</v>
      </c>
      <c r="B1625" s="29">
        <v>2</v>
      </c>
      <c r="C1625" s="14">
        <v>160</v>
      </c>
      <c r="D1625" s="15">
        <v>0</v>
      </c>
    </row>
    <row r="1626" spans="1:4" x14ac:dyDescent="0.2">
      <c r="A1626" s="14">
        <v>1001</v>
      </c>
      <c r="B1626" s="29">
        <v>1</v>
      </c>
      <c r="C1626" s="14">
        <v>400</v>
      </c>
      <c r="D1626" s="15">
        <v>143.53895250000002</v>
      </c>
    </row>
    <row r="1627" spans="1:4" x14ac:dyDescent="0.2">
      <c r="A1627" s="14">
        <v>1001</v>
      </c>
      <c r="B1627" s="29">
        <v>2</v>
      </c>
      <c r="C1627" s="14">
        <v>400</v>
      </c>
      <c r="D1627" s="15">
        <v>133.48073250000002</v>
      </c>
    </row>
    <row r="1628" spans="1:4" x14ac:dyDescent="0.2">
      <c r="A1628" s="14">
        <v>1002</v>
      </c>
      <c r="B1628" s="29">
        <v>1</v>
      </c>
      <c r="C1628" s="14">
        <v>250</v>
      </c>
      <c r="D1628" s="15">
        <f>76.4826975-18.2-14</f>
        <v>44.282697499999998</v>
      </c>
    </row>
    <row r="1629" spans="1:4" x14ac:dyDescent="0.2">
      <c r="A1629" s="14">
        <v>1002</v>
      </c>
      <c r="B1629" s="29">
        <v>2</v>
      </c>
      <c r="C1629" s="14">
        <v>400</v>
      </c>
      <c r="D1629" s="15">
        <f>145.97955-10.5</f>
        <v>135.47954999999999</v>
      </c>
    </row>
    <row r="1630" spans="1:4" x14ac:dyDescent="0.2">
      <c r="A1630" s="17">
        <v>1003</v>
      </c>
      <c r="B1630" s="29">
        <v>1</v>
      </c>
      <c r="C1630" s="17">
        <v>400</v>
      </c>
      <c r="D1630" s="15">
        <f>144.99345-54.3-30-10.5-30</f>
        <v>20.193449999999999</v>
      </c>
    </row>
    <row r="1631" spans="1:4" x14ac:dyDescent="0.2">
      <c r="A1631" s="25">
        <v>1003</v>
      </c>
      <c r="B1631" s="38">
        <v>2</v>
      </c>
      <c r="C1631" s="17">
        <v>400</v>
      </c>
      <c r="D1631" s="15">
        <f>135.32967-8.4-6.3-6.3-6.3</f>
        <v>108.02967</v>
      </c>
    </row>
    <row r="1632" spans="1:4" x14ac:dyDescent="0.2">
      <c r="A1632" s="12">
        <v>1004</v>
      </c>
      <c r="B1632" s="13">
        <v>1</v>
      </c>
      <c r="C1632" s="14">
        <v>630</v>
      </c>
      <c r="D1632" s="15">
        <f>215.26188-19.25-125.4</f>
        <v>70.611879999999985</v>
      </c>
    </row>
    <row r="1633" spans="1:4" x14ac:dyDescent="0.2">
      <c r="A1633" s="12">
        <v>1004</v>
      </c>
      <c r="B1633" s="13">
        <v>2</v>
      </c>
      <c r="C1633" s="14">
        <v>400</v>
      </c>
      <c r="D1633" s="15">
        <v>159.78495000000001</v>
      </c>
    </row>
    <row r="1634" spans="1:4" x14ac:dyDescent="0.2">
      <c r="A1634" s="12">
        <v>1005</v>
      </c>
      <c r="B1634" s="13">
        <v>1</v>
      </c>
      <c r="C1634" s="14">
        <v>160</v>
      </c>
      <c r="D1634" s="15">
        <f>54.5838-10.5-7</f>
        <v>37.083799999999997</v>
      </c>
    </row>
    <row r="1635" spans="1:4" x14ac:dyDescent="0.2">
      <c r="A1635" s="12">
        <v>1006</v>
      </c>
      <c r="B1635" s="13">
        <v>1</v>
      </c>
      <c r="C1635" s="14">
        <v>630</v>
      </c>
      <c r="D1635" s="15">
        <v>233.60333999999997</v>
      </c>
    </row>
    <row r="1636" spans="1:4" x14ac:dyDescent="0.2">
      <c r="A1636" s="12">
        <v>1006</v>
      </c>
      <c r="B1636" s="13">
        <v>2</v>
      </c>
      <c r="C1636" s="14">
        <v>630</v>
      </c>
      <c r="D1636" s="15">
        <v>239.91437999999999</v>
      </c>
    </row>
    <row r="1637" spans="1:4" x14ac:dyDescent="0.2">
      <c r="A1637" s="12">
        <v>1007</v>
      </c>
      <c r="B1637" s="13">
        <v>1</v>
      </c>
      <c r="C1637" s="14">
        <v>250</v>
      </c>
      <c r="D1637" s="15">
        <v>0</v>
      </c>
    </row>
    <row r="1638" spans="1:4" x14ac:dyDescent="0.2">
      <c r="A1638" s="12">
        <v>1008</v>
      </c>
      <c r="B1638" s="13">
        <v>1</v>
      </c>
      <c r="C1638" s="14">
        <v>250</v>
      </c>
      <c r="D1638" s="15">
        <v>98.89182000000001</v>
      </c>
    </row>
    <row r="1639" spans="1:4" x14ac:dyDescent="0.2">
      <c r="A1639" s="12">
        <v>1008</v>
      </c>
      <c r="B1639" s="13">
        <v>2</v>
      </c>
      <c r="C1639" s="14">
        <v>250</v>
      </c>
      <c r="D1639" s="15">
        <v>106.28757</v>
      </c>
    </row>
    <row r="1640" spans="1:4" x14ac:dyDescent="0.2">
      <c r="A1640" s="12">
        <v>1009</v>
      </c>
      <c r="B1640" s="13">
        <v>1</v>
      </c>
      <c r="C1640" s="14">
        <v>630</v>
      </c>
      <c r="D1640" s="15">
        <f>207.6935625-15-9-1.8-21.12</f>
        <v>160.7735625</v>
      </c>
    </row>
    <row r="1641" spans="1:4" x14ac:dyDescent="0.2">
      <c r="A1641" s="12">
        <v>1009</v>
      </c>
      <c r="B1641" s="13">
        <v>2</v>
      </c>
      <c r="C1641" s="14">
        <v>630</v>
      </c>
      <c r="D1641" s="15">
        <f>198.59679-19.5-18</f>
        <v>161.09679</v>
      </c>
    </row>
    <row r="1642" spans="1:4" x14ac:dyDescent="0.2">
      <c r="A1642" s="12">
        <v>1010</v>
      </c>
      <c r="B1642" s="13">
        <v>1</v>
      </c>
      <c r="C1642" s="14">
        <v>250</v>
      </c>
      <c r="D1642" s="15">
        <f>101.702205-10.5</f>
        <v>91.202205000000006</v>
      </c>
    </row>
    <row r="1643" spans="1:4" x14ac:dyDescent="0.2">
      <c r="A1643" s="12">
        <v>1010</v>
      </c>
      <c r="B1643" s="13">
        <v>2</v>
      </c>
      <c r="C1643" s="14">
        <v>250</v>
      </c>
      <c r="D1643" s="15">
        <f>67.92828-8.25-8.25-8.25-7.15</f>
        <v>36.028280000000002</v>
      </c>
    </row>
    <row r="1644" spans="1:4" x14ac:dyDescent="0.2">
      <c r="A1644" s="12">
        <v>1011</v>
      </c>
      <c r="B1644" s="13">
        <v>1</v>
      </c>
      <c r="C1644" s="14">
        <v>250</v>
      </c>
      <c r="D1644" s="15">
        <f>66-4.8-21</f>
        <v>40.200000000000003</v>
      </c>
    </row>
    <row r="1645" spans="1:4" x14ac:dyDescent="0.2">
      <c r="A1645" s="12">
        <v>1011</v>
      </c>
      <c r="B1645" s="13">
        <v>2</v>
      </c>
      <c r="C1645" s="14">
        <v>250</v>
      </c>
      <c r="D1645" s="15">
        <f>92.531475-24-8.4</f>
        <v>60.131475000000002</v>
      </c>
    </row>
    <row r="1646" spans="1:4" x14ac:dyDescent="0.2">
      <c r="A1646" s="12">
        <v>1012</v>
      </c>
      <c r="B1646" s="13">
        <v>1</v>
      </c>
      <c r="C1646" s="14">
        <v>400</v>
      </c>
      <c r="D1646" s="15">
        <f>146.0535075-9-8.25-6.3</f>
        <v>122.5035075</v>
      </c>
    </row>
    <row r="1647" spans="1:4" x14ac:dyDescent="0.2">
      <c r="A1647" s="12">
        <v>1012</v>
      </c>
      <c r="B1647" s="13">
        <v>2</v>
      </c>
      <c r="C1647" s="14">
        <v>400</v>
      </c>
      <c r="D1647" s="15">
        <v>118.46736000000001</v>
      </c>
    </row>
    <row r="1648" spans="1:4" x14ac:dyDescent="0.2">
      <c r="A1648" s="12">
        <v>1013</v>
      </c>
      <c r="B1648" s="13">
        <v>1</v>
      </c>
      <c r="C1648" s="14">
        <v>400</v>
      </c>
      <c r="D1648" s="15">
        <v>203.31708</v>
      </c>
    </row>
    <row r="1649" spans="1:4" x14ac:dyDescent="0.2">
      <c r="A1649" s="12">
        <v>1014</v>
      </c>
      <c r="B1649" s="13">
        <v>1</v>
      </c>
      <c r="C1649" s="14">
        <v>400</v>
      </c>
      <c r="D1649" s="15">
        <f>154.55862-46.75-8.25-4.95-8.25-0.19</f>
        <v>86.16861999999999</v>
      </c>
    </row>
    <row r="1650" spans="1:4" x14ac:dyDescent="0.2">
      <c r="A1650" s="12">
        <v>1014</v>
      </c>
      <c r="B1650" s="13">
        <v>2</v>
      </c>
      <c r="C1650" s="14">
        <v>400</v>
      </c>
      <c r="D1650" s="15">
        <f>94.061385-7.15-9.9-8.25</f>
        <v>68.76138499999999</v>
      </c>
    </row>
    <row r="1651" spans="1:4" x14ac:dyDescent="0.2">
      <c r="A1651" s="12">
        <v>1015</v>
      </c>
      <c r="B1651" s="13">
        <v>1</v>
      </c>
      <c r="C1651" s="14">
        <v>400</v>
      </c>
      <c r="D1651" s="15">
        <v>173.2698675</v>
      </c>
    </row>
    <row r="1652" spans="1:4" x14ac:dyDescent="0.2">
      <c r="A1652" s="12">
        <v>1015</v>
      </c>
      <c r="B1652" s="13">
        <v>2</v>
      </c>
      <c r="C1652" s="14">
        <v>400</v>
      </c>
      <c r="D1652" s="15">
        <f>150.0472125-8.88</f>
        <v>141.16721250000001</v>
      </c>
    </row>
    <row r="1653" spans="1:4" x14ac:dyDescent="0.2">
      <c r="A1653" s="12">
        <v>1016</v>
      </c>
      <c r="B1653" s="13">
        <v>1</v>
      </c>
      <c r="C1653" s="14">
        <v>400</v>
      </c>
      <c r="D1653" s="15">
        <f>146.0535075-6-9-9-6-12-24-18-3.6</f>
        <v>58.453507499999994</v>
      </c>
    </row>
    <row r="1654" spans="1:4" x14ac:dyDescent="0.2">
      <c r="A1654" s="12">
        <v>1016</v>
      </c>
      <c r="B1654" s="13">
        <v>2</v>
      </c>
      <c r="C1654" s="14">
        <v>400</v>
      </c>
      <c r="D1654" s="15">
        <v>154.26279</v>
      </c>
    </row>
    <row r="1655" spans="1:4" x14ac:dyDescent="0.2">
      <c r="A1655" s="12">
        <v>1017</v>
      </c>
      <c r="B1655" s="13">
        <v>1</v>
      </c>
      <c r="C1655" s="14">
        <v>250</v>
      </c>
      <c r="D1655" s="15">
        <f>69-2.75</f>
        <v>66.25</v>
      </c>
    </row>
    <row r="1656" spans="1:4" x14ac:dyDescent="0.2">
      <c r="A1656" s="12">
        <v>1017</v>
      </c>
      <c r="B1656" s="13">
        <v>2</v>
      </c>
      <c r="C1656" s="14">
        <v>250</v>
      </c>
      <c r="D1656" s="15">
        <f>91-3.85</f>
        <v>87.15</v>
      </c>
    </row>
    <row r="1657" spans="1:4" x14ac:dyDescent="0.2">
      <c r="A1657" s="12">
        <v>1018</v>
      </c>
      <c r="B1657" s="13">
        <v>1</v>
      </c>
      <c r="C1657" s="14">
        <v>250</v>
      </c>
      <c r="D1657" s="15">
        <f>90.6825375-10.5-10.5</f>
        <v>69.682537499999995</v>
      </c>
    </row>
    <row r="1658" spans="1:4" x14ac:dyDescent="0.2">
      <c r="A1658" s="12">
        <v>1018</v>
      </c>
      <c r="B1658" s="13">
        <v>2</v>
      </c>
      <c r="C1658" s="14">
        <v>160</v>
      </c>
      <c r="D1658" s="15">
        <v>61.867822500000003</v>
      </c>
    </row>
    <row r="1659" spans="1:4" x14ac:dyDescent="0.2">
      <c r="A1659" s="12">
        <v>1019</v>
      </c>
      <c r="B1659" s="13">
        <v>1</v>
      </c>
      <c r="C1659" s="14">
        <v>630</v>
      </c>
      <c r="D1659" s="15">
        <f>242.8973325-35.4-0.07</f>
        <v>207.42733250000001</v>
      </c>
    </row>
    <row r="1660" spans="1:4" x14ac:dyDescent="0.2">
      <c r="A1660" s="12">
        <v>1019</v>
      </c>
      <c r="B1660" s="13">
        <v>2</v>
      </c>
      <c r="C1660" s="14">
        <v>400</v>
      </c>
      <c r="D1660" s="15">
        <f>125.07423-5.4-13.62-7.8</f>
        <v>98.254229999999993</v>
      </c>
    </row>
    <row r="1661" spans="1:4" x14ac:dyDescent="0.2">
      <c r="A1661" s="12">
        <v>1020</v>
      </c>
      <c r="B1661" s="13">
        <v>1</v>
      </c>
      <c r="C1661" s="14">
        <v>400</v>
      </c>
      <c r="D1661" s="15">
        <f>161.06688-4.2-9</f>
        <v>147.86688000000001</v>
      </c>
    </row>
    <row r="1662" spans="1:4" x14ac:dyDescent="0.2">
      <c r="A1662" s="12">
        <v>1020</v>
      </c>
      <c r="B1662" s="13">
        <v>2</v>
      </c>
      <c r="C1662" s="14">
        <v>400</v>
      </c>
      <c r="D1662" s="15">
        <f>70.04985-6.3</f>
        <v>63.749850000000009</v>
      </c>
    </row>
    <row r="1663" spans="1:4" x14ac:dyDescent="0.2">
      <c r="A1663" s="12">
        <v>1021</v>
      </c>
      <c r="B1663" s="13">
        <v>1</v>
      </c>
      <c r="C1663" s="14">
        <v>400</v>
      </c>
      <c r="D1663" s="15">
        <v>172.70286000000002</v>
      </c>
    </row>
    <row r="1664" spans="1:4" x14ac:dyDescent="0.2">
      <c r="A1664" s="12">
        <v>1021</v>
      </c>
      <c r="B1664" s="13">
        <v>2</v>
      </c>
      <c r="C1664" s="14">
        <v>250</v>
      </c>
      <c r="D1664" s="15">
        <v>60.433919999999993</v>
      </c>
    </row>
    <row r="1665" spans="1:4" x14ac:dyDescent="0.2">
      <c r="A1665" s="16">
        <v>1022</v>
      </c>
      <c r="B1665" s="13">
        <v>1</v>
      </c>
      <c r="C1665" s="17">
        <v>400</v>
      </c>
      <c r="D1665" s="15">
        <v>0</v>
      </c>
    </row>
    <row r="1666" spans="1:4" x14ac:dyDescent="0.2">
      <c r="A1666" s="16">
        <v>1022</v>
      </c>
      <c r="B1666" s="13">
        <v>2</v>
      </c>
      <c r="C1666" s="17">
        <v>400</v>
      </c>
      <c r="D1666" s="15">
        <f>130.9661775-8.25-8.25-8.25-4.13-9</f>
        <v>93.086177499999991</v>
      </c>
    </row>
    <row r="1667" spans="1:4" x14ac:dyDescent="0.2">
      <c r="A1667" s="12">
        <v>1023</v>
      </c>
      <c r="B1667" s="13">
        <v>1</v>
      </c>
      <c r="C1667" s="14">
        <v>180</v>
      </c>
      <c r="D1667" s="15">
        <v>74.768429999999995</v>
      </c>
    </row>
    <row r="1668" spans="1:4" x14ac:dyDescent="0.2">
      <c r="A1668" s="12">
        <v>1024</v>
      </c>
      <c r="B1668" s="13">
        <v>1</v>
      </c>
      <c r="C1668" s="14">
        <v>400</v>
      </c>
      <c r="D1668" s="15">
        <f>132.37137-12</f>
        <v>120.37137000000001</v>
      </c>
    </row>
    <row r="1669" spans="1:4" x14ac:dyDescent="0.2">
      <c r="A1669" s="12">
        <v>1024</v>
      </c>
      <c r="B1669" s="13">
        <v>2</v>
      </c>
      <c r="C1669" s="14">
        <v>400</v>
      </c>
      <c r="D1669" s="15">
        <v>160.327305</v>
      </c>
    </row>
    <row r="1670" spans="1:4" x14ac:dyDescent="0.2">
      <c r="A1670" s="12">
        <v>1025</v>
      </c>
      <c r="B1670" s="13">
        <v>1</v>
      </c>
      <c r="C1670" s="14">
        <v>400</v>
      </c>
      <c r="D1670" s="15">
        <f>106.67928-6-8.22-9-9-9-6-15.3</f>
        <v>44.15928000000001</v>
      </c>
    </row>
    <row r="1671" spans="1:4" x14ac:dyDescent="0.2">
      <c r="A1671" s="12">
        <v>1026</v>
      </c>
      <c r="B1671" s="13">
        <v>1</v>
      </c>
      <c r="C1671" s="14">
        <v>400</v>
      </c>
      <c r="D1671" s="15">
        <f>144.5004-9-9-7-9-6-0.24-3-3</f>
        <v>98.260400000000018</v>
      </c>
    </row>
    <row r="1672" spans="1:4" x14ac:dyDescent="0.2">
      <c r="A1672" s="12">
        <v>1026</v>
      </c>
      <c r="B1672" s="13">
        <v>2</v>
      </c>
      <c r="C1672" s="14">
        <v>250</v>
      </c>
      <c r="D1672" s="15">
        <f>107.86533-8.22-9-3</f>
        <v>87.645330000000001</v>
      </c>
    </row>
    <row r="1673" spans="1:4" x14ac:dyDescent="0.2">
      <c r="A1673" s="12">
        <v>1027</v>
      </c>
      <c r="B1673" s="13">
        <v>1</v>
      </c>
      <c r="C1673" s="14">
        <v>400</v>
      </c>
      <c r="D1673" s="15">
        <f>170-8.4-7-4.9-10.5-10.5-6-10.5-10.5-9-9-9-1.02-6</f>
        <v>67.679999999999993</v>
      </c>
    </row>
    <row r="1674" spans="1:4" x14ac:dyDescent="0.2">
      <c r="A1674" s="12">
        <v>1028</v>
      </c>
      <c r="B1674" s="13">
        <v>1</v>
      </c>
      <c r="C1674" s="14">
        <v>400</v>
      </c>
      <c r="D1674" s="15">
        <f>163.581435-9</f>
        <v>154.581435</v>
      </c>
    </row>
    <row r="1675" spans="1:4" x14ac:dyDescent="0.2">
      <c r="A1675" s="12">
        <v>1028</v>
      </c>
      <c r="B1675" s="13">
        <v>2</v>
      </c>
      <c r="C1675" s="14">
        <v>250</v>
      </c>
      <c r="D1675" s="15">
        <f>79.8847425-19.8-6.42-3.3-21</f>
        <v>29.364742500000006</v>
      </c>
    </row>
    <row r="1676" spans="1:4" x14ac:dyDescent="0.2">
      <c r="A1676" s="12">
        <v>1029</v>
      </c>
      <c r="B1676" s="13">
        <v>1</v>
      </c>
      <c r="C1676" s="14">
        <v>400</v>
      </c>
      <c r="D1676" s="15">
        <f>121.22844-0.12-9.12-9-24-45</f>
        <v>33.988439999999997</v>
      </c>
    </row>
    <row r="1677" spans="1:4" x14ac:dyDescent="0.2">
      <c r="A1677" s="12">
        <v>1029</v>
      </c>
      <c r="B1677" s="13">
        <v>2</v>
      </c>
      <c r="C1677" s="14">
        <v>400</v>
      </c>
      <c r="D1677" s="15">
        <f>173.29452-6-8.25-45-24</f>
        <v>90.044520000000006</v>
      </c>
    </row>
    <row r="1678" spans="1:4" x14ac:dyDescent="0.2">
      <c r="A1678" s="12">
        <v>1030</v>
      </c>
      <c r="B1678" s="13">
        <v>1</v>
      </c>
      <c r="C1678" s="14">
        <v>400</v>
      </c>
      <c r="D1678" s="15">
        <f>139.8410775-24.75-57.75</f>
        <v>57.341077500000011</v>
      </c>
    </row>
    <row r="1679" spans="1:4" x14ac:dyDescent="0.2">
      <c r="A1679" s="12">
        <v>1030</v>
      </c>
      <c r="B1679" s="13">
        <v>2</v>
      </c>
      <c r="C1679" s="14">
        <v>400</v>
      </c>
      <c r="D1679" s="15">
        <f>147-57.75</f>
        <v>89.25</v>
      </c>
    </row>
    <row r="1680" spans="1:4" x14ac:dyDescent="0.2">
      <c r="A1680" s="12">
        <v>1031</v>
      </c>
      <c r="B1680" s="13">
        <v>1</v>
      </c>
      <c r="C1680" s="14">
        <v>250</v>
      </c>
      <c r="D1680" s="15">
        <f>112.5-9-9-9</f>
        <v>85.5</v>
      </c>
    </row>
    <row r="1681" spans="1:4" x14ac:dyDescent="0.2">
      <c r="A1681" s="12">
        <v>1031</v>
      </c>
      <c r="B1681" s="13">
        <v>2</v>
      </c>
      <c r="C1681" s="14">
        <v>250</v>
      </c>
      <c r="D1681" s="15">
        <f>112.20417-6-9-9-9-9-9-9</f>
        <v>52.204170000000005</v>
      </c>
    </row>
    <row r="1682" spans="1:4" x14ac:dyDescent="0.2">
      <c r="A1682" s="12">
        <v>1032</v>
      </c>
      <c r="B1682" s="13">
        <v>1</v>
      </c>
      <c r="C1682" s="14">
        <v>400</v>
      </c>
      <c r="D1682" s="15">
        <f>146.27538-1.4-1.75</f>
        <v>143.12538000000001</v>
      </c>
    </row>
    <row r="1683" spans="1:4" x14ac:dyDescent="0.2">
      <c r="A1683" s="12">
        <v>1032</v>
      </c>
      <c r="B1683" s="13">
        <v>2</v>
      </c>
      <c r="C1683" s="14">
        <v>400</v>
      </c>
      <c r="D1683" s="15">
        <v>139.98899249999999</v>
      </c>
    </row>
    <row r="1684" spans="1:4" x14ac:dyDescent="0.2">
      <c r="A1684" s="12">
        <v>1033</v>
      </c>
      <c r="B1684" s="13">
        <v>1</v>
      </c>
      <c r="C1684" s="14">
        <v>400</v>
      </c>
      <c r="D1684" s="15">
        <f>128.673495-6-9-9</f>
        <v>104.673495</v>
      </c>
    </row>
    <row r="1685" spans="1:4" x14ac:dyDescent="0.2">
      <c r="A1685" s="12">
        <v>1033</v>
      </c>
      <c r="B1685" s="13">
        <v>2</v>
      </c>
      <c r="C1685" s="14">
        <v>400</v>
      </c>
      <c r="D1685" s="15">
        <f>130.30056-9-9-9</f>
        <v>103.30055999999999</v>
      </c>
    </row>
    <row r="1686" spans="1:4" x14ac:dyDescent="0.2">
      <c r="A1686" s="12">
        <v>1034</v>
      </c>
      <c r="B1686" s="13">
        <v>1</v>
      </c>
      <c r="C1686" s="14">
        <v>250</v>
      </c>
      <c r="D1686" s="15">
        <f>106.435485-2.75</f>
        <v>103.685485</v>
      </c>
    </row>
    <row r="1687" spans="1:4" x14ac:dyDescent="0.2">
      <c r="A1687" s="12">
        <v>1034</v>
      </c>
      <c r="B1687" s="13">
        <v>2</v>
      </c>
      <c r="C1687" s="14">
        <v>250</v>
      </c>
      <c r="D1687" s="15">
        <f>93.7887525-5.5-7.5-8.25-8.25</f>
        <v>64.288752500000001</v>
      </c>
    </row>
    <row r="1688" spans="1:4" x14ac:dyDescent="0.2">
      <c r="A1688" s="12">
        <v>1035</v>
      </c>
      <c r="B1688" s="13">
        <v>1</v>
      </c>
      <c r="C1688" s="14">
        <v>250</v>
      </c>
      <c r="D1688" s="15">
        <v>0</v>
      </c>
    </row>
    <row r="1689" spans="1:4" x14ac:dyDescent="0.2">
      <c r="A1689" s="12">
        <v>1035</v>
      </c>
      <c r="B1689" s="13">
        <v>2</v>
      </c>
      <c r="C1689" s="14">
        <v>250</v>
      </c>
      <c r="D1689" s="15">
        <f>79.2930825-6.04-5.5-5.5-5.5-8.25-8.25-8.25-2.2-10.5</f>
        <v>19.303082499999991</v>
      </c>
    </row>
    <row r="1690" spans="1:4" x14ac:dyDescent="0.2">
      <c r="A1690" s="12">
        <v>1036</v>
      </c>
      <c r="B1690" s="13">
        <v>1</v>
      </c>
      <c r="C1690" s="14">
        <v>400</v>
      </c>
      <c r="D1690" s="15">
        <v>160.25334750000002</v>
      </c>
    </row>
    <row r="1691" spans="1:4" x14ac:dyDescent="0.2">
      <c r="A1691" s="12">
        <v>1036</v>
      </c>
      <c r="B1691" s="13">
        <v>2</v>
      </c>
      <c r="C1691" s="14">
        <v>400</v>
      </c>
      <c r="D1691" s="15">
        <f>140.06295-27.5</f>
        <v>112.56295</v>
      </c>
    </row>
    <row r="1692" spans="1:4" x14ac:dyDescent="0.2">
      <c r="A1692" s="12">
        <v>1037</v>
      </c>
      <c r="B1692" s="13">
        <v>1</v>
      </c>
      <c r="C1692" s="14">
        <v>250</v>
      </c>
      <c r="D1692" s="15">
        <f>45.8642925-4.95-1.65-1.65</f>
        <v>37.614292499999998</v>
      </c>
    </row>
    <row r="1693" spans="1:4" x14ac:dyDescent="0.2">
      <c r="A1693" s="12">
        <v>1037</v>
      </c>
      <c r="B1693" s="13">
        <v>2</v>
      </c>
      <c r="C1693" s="14">
        <v>400</v>
      </c>
      <c r="D1693" s="15">
        <f>131.631795-1.65</f>
        <v>129.98179500000001</v>
      </c>
    </row>
    <row r="1694" spans="1:4" x14ac:dyDescent="0.2">
      <c r="A1694" s="12">
        <v>1038</v>
      </c>
      <c r="B1694" s="13">
        <v>1</v>
      </c>
      <c r="C1694" s="14">
        <v>400</v>
      </c>
      <c r="D1694" s="15">
        <f>158.3304525-16.5-16.5</f>
        <v>125.33045250000001</v>
      </c>
    </row>
    <row r="1695" spans="1:4" x14ac:dyDescent="0.2">
      <c r="A1695" s="12">
        <v>1038</v>
      </c>
      <c r="B1695" s="13">
        <v>2</v>
      </c>
      <c r="C1695" s="14">
        <v>400</v>
      </c>
      <c r="D1695" s="15">
        <v>130.744305</v>
      </c>
    </row>
    <row r="1696" spans="1:4" x14ac:dyDescent="0.2">
      <c r="A1696" s="12">
        <v>1039</v>
      </c>
      <c r="B1696" s="13">
        <v>1</v>
      </c>
      <c r="C1696" s="14">
        <v>250</v>
      </c>
      <c r="D1696" s="15">
        <f>115.78233-19.6-38.5</f>
        <v>57.682330000000007</v>
      </c>
    </row>
    <row r="1697" spans="1:4" x14ac:dyDescent="0.2">
      <c r="A1697" s="12">
        <v>1040</v>
      </c>
      <c r="B1697" s="13">
        <v>1</v>
      </c>
      <c r="C1697" s="14">
        <v>400</v>
      </c>
      <c r="D1697" s="15">
        <f>180-112.5</f>
        <v>67.5</v>
      </c>
    </row>
    <row r="1698" spans="1:4" x14ac:dyDescent="0.2">
      <c r="A1698" s="12">
        <v>1040</v>
      </c>
      <c r="B1698" s="13">
        <v>2</v>
      </c>
      <c r="C1698" s="14">
        <v>400</v>
      </c>
      <c r="D1698" s="15">
        <f>155.594025-8.25</f>
        <v>147.34402499999999</v>
      </c>
    </row>
    <row r="1699" spans="1:4" x14ac:dyDescent="0.2">
      <c r="A1699" s="12">
        <v>1041</v>
      </c>
      <c r="B1699" s="13">
        <v>1</v>
      </c>
      <c r="C1699" s="14">
        <v>400</v>
      </c>
      <c r="D1699" s="15">
        <f>133.702605-4.02-9-9</f>
        <v>111.682605</v>
      </c>
    </row>
    <row r="1700" spans="1:4" x14ac:dyDescent="0.2">
      <c r="A1700" s="12">
        <v>1041</v>
      </c>
      <c r="B1700" s="13">
        <v>2</v>
      </c>
      <c r="C1700" s="14">
        <v>400</v>
      </c>
      <c r="D1700" s="15">
        <f>149.52951-33.6-9</f>
        <v>106.92950999999999</v>
      </c>
    </row>
    <row r="1701" spans="1:4" x14ac:dyDescent="0.2">
      <c r="A1701" s="12">
        <v>1042</v>
      </c>
      <c r="B1701" s="13">
        <v>1</v>
      </c>
      <c r="C1701" s="14">
        <v>630</v>
      </c>
      <c r="D1701" s="15">
        <f>265.09155-4.8-4.8-9-30-0.54-9-9-9-0.3</f>
        <v>188.65154999999996</v>
      </c>
    </row>
    <row r="1702" spans="1:4" x14ac:dyDescent="0.2">
      <c r="A1702" s="12">
        <v>1043</v>
      </c>
      <c r="B1702" s="13">
        <v>1</v>
      </c>
      <c r="C1702" s="14">
        <v>400</v>
      </c>
      <c r="D1702" s="15">
        <f>133.6286475-10.5-52.5</f>
        <v>70.6286475</v>
      </c>
    </row>
    <row r="1703" spans="1:4" x14ac:dyDescent="0.2">
      <c r="A1703" s="12">
        <v>1043</v>
      </c>
      <c r="B1703" s="13">
        <v>2</v>
      </c>
      <c r="C1703" s="14">
        <v>400</v>
      </c>
      <c r="D1703" s="15">
        <f>150.0472125-7</f>
        <v>143.0472125</v>
      </c>
    </row>
    <row r="1704" spans="1:4" x14ac:dyDescent="0.2">
      <c r="A1704" s="12">
        <v>1044</v>
      </c>
      <c r="B1704" s="13">
        <v>1</v>
      </c>
      <c r="C1704" s="14">
        <v>400</v>
      </c>
      <c r="D1704" s="15">
        <f>77.34699-1.8</f>
        <v>75.546990000000008</v>
      </c>
    </row>
    <row r="1705" spans="1:4" x14ac:dyDescent="0.2">
      <c r="A1705" s="12">
        <v>1044</v>
      </c>
      <c r="B1705" s="13">
        <v>2</v>
      </c>
      <c r="C1705" s="14">
        <v>400</v>
      </c>
      <c r="D1705" s="15">
        <f>151.79754-9-0.6-0.54-8.22</f>
        <v>133.43754000000001</v>
      </c>
    </row>
    <row r="1706" spans="1:4" x14ac:dyDescent="0.2">
      <c r="A1706" s="12">
        <v>1045</v>
      </c>
      <c r="B1706" s="13">
        <v>1</v>
      </c>
      <c r="C1706" s="14">
        <v>160</v>
      </c>
      <c r="D1706" s="15">
        <f>79.03908-9</f>
        <v>70.039079999999998</v>
      </c>
    </row>
    <row r="1707" spans="1:4" x14ac:dyDescent="0.2">
      <c r="A1707" s="12">
        <v>1046</v>
      </c>
      <c r="B1707" s="13">
        <v>1</v>
      </c>
      <c r="C1707" s="14">
        <v>400</v>
      </c>
      <c r="D1707" s="15">
        <f>139.27407-6-21.48-6.3-0.6</f>
        <v>104.89407</v>
      </c>
    </row>
    <row r="1708" spans="1:4" x14ac:dyDescent="0.2">
      <c r="A1708" s="12">
        <v>1046</v>
      </c>
      <c r="B1708" s="13">
        <v>2</v>
      </c>
      <c r="C1708" s="14">
        <v>400</v>
      </c>
      <c r="D1708" s="15">
        <f>110.87439-6</f>
        <v>104.87439000000001</v>
      </c>
    </row>
    <row r="1709" spans="1:4" x14ac:dyDescent="0.2">
      <c r="A1709" s="12">
        <v>1047</v>
      </c>
      <c r="B1709" s="13">
        <v>1</v>
      </c>
      <c r="C1709" s="14">
        <v>400</v>
      </c>
      <c r="D1709" s="15">
        <v>113.83269000000001</v>
      </c>
    </row>
    <row r="1710" spans="1:4" x14ac:dyDescent="0.2">
      <c r="A1710" s="12">
        <v>1047</v>
      </c>
      <c r="B1710" s="13">
        <v>2</v>
      </c>
      <c r="C1710" s="14">
        <v>400</v>
      </c>
      <c r="D1710" s="15">
        <f>115.80489-9-27-6.3</f>
        <v>73.504890000000003</v>
      </c>
    </row>
    <row r="1711" spans="1:4" x14ac:dyDescent="0.2">
      <c r="A1711" s="12">
        <v>1048</v>
      </c>
      <c r="B1711" s="13">
        <v>1</v>
      </c>
      <c r="C1711" s="14">
        <v>630</v>
      </c>
      <c r="D1711" s="15">
        <f>248.09901-9-4.2-7.2-34.2</f>
        <v>193.49901</v>
      </c>
    </row>
    <row r="1712" spans="1:4" x14ac:dyDescent="0.2">
      <c r="A1712" s="12">
        <v>1048</v>
      </c>
      <c r="B1712" s="13">
        <v>2</v>
      </c>
      <c r="C1712" s="14">
        <v>630</v>
      </c>
      <c r="D1712" s="15">
        <v>205.89392999999998</v>
      </c>
    </row>
    <row r="1713" spans="1:4" x14ac:dyDescent="0.2">
      <c r="A1713" s="12">
        <v>1049</v>
      </c>
      <c r="B1713" s="13">
        <v>1</v>
      </c>
      <c r="C1713" s="14">
        <v>400</v>
      </c>
      <c r="D1713" s="15">
        <f>153.5971725-18.6-78.6</f>
        <v>56.397172500000011</v>
      </c>
    </row>
    <row r="1714" spans="1:4" x14ac:dyDescent="0.2">
      <c r="A1714" s="12">
        <v>1049</v>
      </c>
      <c r="B1714" s="13">
        <v>2</v>
      </c>
      <c r="C1714" s="14">
        <v>400</v>
      </c>
      <c r="D1714" s="15">
        <f>119.65068-18-78.6</f>
        <v>23.05068</v>
      </c>
    </row>
    <row r="1715" spans="1:4" x14ac:dyDescent="0.2">
      <c r="A1715" s="12">
        <v>1050</v>
      </c>
      <c r="B1715" s="13">
        <v>1</v>
      </c>
      <c r="C1715" s="14">
        <v>400</v>
      </c>
      <c r="D1715" s="15">
        <v>163.63074</v>
      </c>
    </row>
    <row r="1716" spans="1:4" x14ac:dyDescent="0.2">
      <c r="A1716" s="12">
        <v>1050</v>
      </c>
      <c r="B1716" s="13">
        <v>2</v>
      </c>
      <c r="C1716" s="14">
        <v>250</v>
      </c>
      <c r="D1716" s="15">
        <v>0</v>
      </c>
    </row>
    <row r="1717" spans="1:4" x14ac:dyDescent="0.2">
      <c r="A1717" s="12">
        <v>1051</v>
      </c>
      <c r="B1717" s="13">
        <v>1</v>
      </c>
      <c r="C1717" s="14">
        <v>400</v>
      </c>
      <c r="D1717" s="15">
        <f>159.8096025-9-9</f>
        <v>141.80960250000001</v>
      </c>
    </row>
    <row r="1718" spans="1:4" x14ac:dyDescent="0.2">
      <c r="A1718" s="12">
        <v>1051</v>
      </c>
      <c r="B1718" s="13">
        <v>2</v>
      </c>
      <c r="C1718" s="14">
        <v>400</v>
      </c>
      <c r="D1718" s="15">
        <f>158.6262825-7.8-12</f>
        <v>138.82628249999999</v>
      </c>
    </row>
    <row r="1719" spans="1:4" x14ac:dyDescent="0.2">
      <c r="A1719" s="12">
        <v>1052</v>
      </c>
      <c r="B1719" s="13">
        <v>1</v>
      </c>
      <c r="C1719" s="14">
        <v>250</v>
      </c>
      <c r="D1719" s="15">
        <f>87.94611-0.7</f>
        <v>87.246110000000002</v>
      </c>
    </row>
    <row r="1720" spans="1:4" x14ac:dyDescent="0.2">
      <c r="A1720" s="12">
        <v>1052</v>
      </c>
      <c r="B1720" s="13">
        <v>2</v>
      </c>
      <c r="C1720" s="14">
        <v>250</v>
      </c>
      <c r="D1720" s="15">
        <f>89.869005-49</f>
        <v>40.869005000000001</v>
      </c>
    </row>
    <row r="1721" spans="1:4" x14ac:dyDescent="0.2">
      <c r="A1721" s="16">
        <v>1053</v>
      </c>
      <c r="B1721" s="13">
        <v>1</v>
      </c>
      <c r="C1721" s="17">
        <v>250</v>
      </c>
      <c r="D1721" s="15">
        <v>98.821410000000014</v>
      </c>
    </row>
    <row r="1722" spans="1:4" x14ac:dyDescent="0.2">
      <c r="A1722" s="16">
        <v>1054</v>
      </c>
      <c r="B1722" s="13">
        <v>1</v>
      </c>
      <c r="C1722" s="17">
        <v>250</v>
      </c>
      <c r="D1722" s="15">
        <v>98.817862500000004</v>
      </c>
    </row>
    <row r="1723" spans="1:4" x14ac:dyDescent="0.2">
      <c r="A1723" s="12">
        <v>1054</v>
      </c>
      <c r="B1723" s="13">
        <v>2</v>
      </c>
      <c r="C1723" s="14">
        <v>250</v>
      </c>
      <c r="D1723" s="15">
        <v>80.106615000000005</v>
      </c>
    </row>
    <row r="1724" spans="1:4" x14ac:dyDescent="0.2">
      <c r="A1724" s="16">
        <v>1055</v>
      </c>
      <c r="B1724" s="13">
        <v>1</v>
      </c>
      <c r="C1724" s="17">
        <v>400</v>
      </c>
      <c r="D1724" s="15">
        <v>154.6325775</v>
      </c>
    </row>
    <row r="1725" spans="1:4" x14ac:dyDescent="0.2">
      <c r="A1725" s="16">
        <v>1055</v>
      </c>
      <c r="B1725" s="13">
        <v>2</v>
      </c>
      <c r="C1725" s="17">
        <v>400</v>
      </c>
      <c r="D1725" s="15">
        <v>175.34067750000003</v>
      </c>
    </row>
    <row r="1726" spans="1:4" x14ac:dyDescent="0.2">
      <c r="A1726" s="12">
        <v>1056</v>
      </c>
      <c r="B1726" s="13">
        <v>1</v>
      </c>
      <c r="C1726" s="14">
        <v>400</v>
      </c>
      <c r="D1726" s="15">
        <f>167.2053525-1.1-8.25-16.5</f>
        <v>141.35535250000001</v>
      </c>
    </row>
    <row r="1727" spans="1:4" x14ac:dyDescent="0.2">
      <c r="A1727" s="12">
        <v>1056</v>
      </c>
      <c r="B1727" s="13">
        <v>2</v>
      </c>
      <c r="C1727" s="14">
        <v>400</v>
      </c>
      <c r="D1727" s="15">
        <v>128.22975</v>
      </c>
    </row>
    <row r="1728" spans="1:4" x14ac:dyDescent="0.2">
      <c r="A1728" s="12">
        <v>1057</v>
      </c>
      <c r="B1728" s="13">
        <v>1</v>
      </c>
      <c r="C1728" s="14">
        <v>400</v>
      </c>
      <c r="D1728" s="15">
        <v>151.452405</v>
      </c>
    </row>
    <row r="1729" spans="1:4" x14ac:dyDescent="0.2">
      <c r="A1729" s="12">
        <v>1057</v>
      </c>
      <c r="B1729" s="13">
        <v>2</v>
      </c>
      <c r="C1729" s="14">
        <v>400</v>
      </c>
      <c r="D1729" s="15">
        <f>135.2557125-8.25</f>
        <v>127.00571249999999</v>
      </c>
    </row>
    <row r="1730" spans="1:4" x14ac:dyDescent="0.2">
      <c r="A1730" s="12">
        <v>1058</v>
      </c>
      <c r="B1730" s="13">
        <v>1</v>
      </c>
      <c r="C1730" s="14">
        <v>630</v>
      </c>
      <c r="D1730" s="15">
        <f>249.923295-82.5</f>
        <v>167.423295</v>
      </c>
    </row>
    <row r="1731" spans="1:4" x14ac:dyDescent="0.2">
      <c r="A1731" s="12">
        <v>1058</v>
      </c>
      <c r="B1731" s="13">
        <v>2</v>
      </c>
      <c r="C1731" s="14">
        <v>630</v>
      </c>
      <c r="D1731" s="15">
        <f>250.7368275-82.5-8.25</f>
        <v>159.9868275</v>
      </c>
    </row>
    <row r="1732" spans="1:4" x14ac:dyDescent="0.2">
      <c r="A1732" s="12">
        <v>1059</v>
      </c>
      <c r="B1732" s="13">
        <v>1</v>
      </c>
      <c r="C1732" s="14">
        <v>160</v>
      </c>
      <c r="D1732" s="15">
        <v>41.381595000000004</v>
      </c>
    </row>
    <row r="1733" spans="1:4" x14ac:dyDescent="0.2">
      <c r="A1733" s="12">
        <v>1059</v>
      </c>
      <c r="B1733" s="13">
        <v>2</v>
      </c>
      <c r="C1733" s="14">
        <v>160</v>
      </c>
      <c r="D1733" s="15">
        <v>40.568062500000003</v>
      </c>
    </row>
    <row r="1734" spans="1:4" x14ac:dyDescent="0.2">
      <c r="A1734" s="12">
        <v>1060</v>
      </c>
      <c r="B1734" s="13">
        <v>1</v>
      </c>
      <c r="C1734" s="14">
        <v>400</v>
      </c>
      <c r="D1734" s="15">
        <f>212.58642-7</f>
        <v>205.58642</v>
      </c>
    </row>
    <row r="1735" spans="1:4" x14ac:dyDescent="0.2">
      <c r="A1735" s="12">
        <v>1061</v>
      </c>
      <c r="B1735" s="13">
        <v>1</v>
      </c>
      <c r="C1735" s="14">
        <v>250</v>
      </c>
      <c r="D1735" s="15">
        <f>108.802125-5.5</f>
        <v>103.302125</v>
      </c>
    </row>
    <row r="1736" spans="1:4" x14ac:dyDescent="0.2">
      <c r="A1736" s="12">
        <v>1061</v>
      </c>
      <c r="B1736" s="13">
        <v>2</v>
      </c>
      <c r="C1736" s="14">
        <v>250</v>
      </c>
      <c r="D1736" s="15">
        <f>60.43392-3.85</f>
        <v>56.583919999999999</v>
      </c>
    </row>
    <row r="1737" spans="1:4" x14ac:dyDescent="0.2">
      <c r="A1737" s="12">
        <v>1062</v>
      </c>
      <c r="B1737" s="13">
        <v>1</v>
      </c>
      <c r="C1737" s="14">
        <v>250</v>
      </c>
      <c r="D1737" s="15">
        <f>93.56688-10.5-9</f>
        <v>74.066879999999998</v>
      </c>
    </row>
    <row r="1738" spans="1:4" x14ac:dyDescent="0.2">
      <c r="A1738" s="12">
        <v>1062</v>
      </c>
      <c r="B1738" s="13">
        <v>2</v>
      </c>
      <c r="C1738" s="14">
        <v>250</v>
      </c>
      <c r="D1738" s="15">
        <v>0</v>
      </c>
    </row>
    <row r="1739" spans="1:4" x14ac:dyDescent="0.2">
      <c r="A1739" s="12">
        <v>1063</v>
      </c>
      <c r="B1739" s="13">
        <v>1</v>
      </c>
      <c r="C1739" s="14">
        <v>400</v>
      </c>
      <c r="D1739" s="15">
        <f>176.2281675-8.25</f>
        <v>167.97816750000001</v>
      </c>
    </row>
    <row r="1740" spans="1:4" x14ac:dyDescent="0.2">
      <c r="A1740" s="12">
        <v>1063</v>
      </c>
      <c r="B1740" s="13">
        <v>2</v>
      </c>
      <c r="C1740" s="14">
        <v>400</v>
      </c>
      <c r="D1740" s="15">
        <f>119.35485-8.25</f>
        <v>111.10485</v>
      </c>
    </row>
    <row r="1741" spans="1:4" x14ac:dyDescent="0.2">
      <c r="A1741" s="12">
        <v>1064</v>
      </c>
      <c r="B1741" s="13">
        <v>1</v>
      </c>
      <c r="C1741" s="14">
        <v>400</v>
      </c>
      <c r="D1741" s="15">
        <f>152.044065-14-18.55-63</f>
        <v>56.494064999999992</v>
      </c>
    </row>
    <row r="1742" spans="1:4" x14ac:dyDescent="0.2">
      <c r="A1742" s="12">
        <v>1064</v>
      </c>
      <c r="B1742" s="13">
        <v>2</v>
      </c>
      <c r="C1742" s="14">
        <v>400</v>
      </c>
      <c r="D1742" s="15">
        <f>131.631795-14</f>
        <v>117.63179500000001</v>
      </c>
    </row>
    <row r="1743" spans="1:4" x14ac:dyDescent="0.2">
      <c r="A1743" s="16">
        <v>1065</v>
      </c>
      <c r="B1743" s="13">
        <v>1</v>
      </c>
      <c r="C1743" s="17">
        <v>400</v>
      </c>
      <c r="D1743" s="15">
        <f>146.96565-3</f>
        <v>143.96565000000001</v>
      </c>
    </row>
    <row r="1744" spans="1:4" x14ac:dyDescent="0.2">
      <c r="A1744" s="16">
        <v>1065</v>
      </c>
      <c r="B1744" s="13">
        <v>2</v>
      </c>
      <c r="C1744" s="17">
        <v>400</v>
      </c>
      <c r="D1744" s="15">
        <f>170.53344-90</f>
        <v>80.533440000000013</v>
      </c>
    </row>
    <row r="1745" spans="1:4" x14ac:dyDescent="0.2">
      <c r="A1745" s="12">
        <v>1066</v>
      </c>
      <c r="B1745" s="13">
        <v>1</v>
      </c>
      <c r="C1745" s="14">
        <v>400</v>
      </c>
      <c r="D1745" s="15">
        <f>99.83007-9-9-9-18-21</f>
        <v>33.830070000000006</v>
      </c>
    </row>
    <row r="1746" spans="1:4" x14ac:dyDescent="0.2">
      <c r="A1746" s="12">
        <v>1066</v>
      </c>
      <c r="B1746" s="13">
        <v>2</v>
      </c>
      <c r="C1746" s="14">
        <v>400</v>
      </c>
      <c r="D1746" s="15">
        <v>0</v>
      </c>
    </row>
    <row r="1747" spans="1:4" x14ac:dyDescent="0.2">
      <c r="A1747" s="12">
        <v>1067</v>
      </c>
      <c r="B1747" s="13">
        <v>1</v>
      </c>
      <c r="C1747" s="14">
        <v>250</v>
      </c>
      <c r="D1747" s="15">
        <v>0</v>
      </c>
    </row>
    <row r="1748" spans="1:4" x14ac:dyDescent="0.2">
      <c r="A1748" s="12">
        <v>1067</v>
      </c>
      <c r="B1748" s="13">
        <v>2</v>
      </c>
      <c r="C1748" s="14">
        <v>200</v>
      </c>
      <c r="D1748" s="15">
        <v>0</v>
      </c>
    </row>
    <row r="1749" spans="1:4" x14ac:dyDescent="0.2">
      <c r="A1749" s="12">
        <v>1068</v>
      </c>
      <c r="B1749" s="13">
        <v>1</v>
      </c>
      <c r="C1749" s="14">
        <v>250</v>
      </c>
      <c r="D1749" s="15">
        <v>0</v>
      </c>
    </row>
    <row r="1750" spans="1:4" x14ac:dyDescent="0.2">
      <c r="A1750" s="12">
        <v>1068</v>
      </c>
      <c r="B1750" s="13">
        <v>2</v>
      </c>
      <c r="C1750" s="14">
        <v>250</v>
      </c>
      <c r="D1750" s="15">
        <f>157-8.25-68.2-8.25</f>
        <v>72.3</v>
      </c>
    </row>
    <row r="1751" spans="1:4" x14ac:dyDescent="0.2">
      <c r="A1751" s="12">
        <v>1069</v>
      </c>
      <c r="B1751" s="13">
        <v>1</v>
      </c>
      <c r="C1751" s="14">
        <v>200</v>
      </c>
      <c r="D1751" s="15">
        <v>0</v>
      </c>
    </row>
    <row r="1752" spans="1:4" x14ac:dyDescent="0.2">
      <c r="A1752" s="12">
        <v>1070</v>
      </c>
      <c r="B1752" s="13">
        <v>1</v>
      </c>
      <c r="C1752" s="14">
        <v>400</v>
      </c>
      <c r="D1752" s="15">
        <f>117.28404-8.25-5.5</f>
        <v>103.53404</v>
      </c>
    </row>
    <row r="1753" spans="1:4" x14ac:dyDescent="0.2">
      <c r="A1753" s="12">
        <v>1070</v>
      </c>
      <c r="B1753" s="13">
        <v>2</v>
      </c>
      <c r="C1753" s="14">
        <v>400</v>
      </c>
      <c r="D1753" s="15">
        <f>148.34619-8.25</f>
        <v>140.09619000000001</v>
      </c>
    </row>
    <row r="1754" spans="1:4" x14ac:dyDescent="0.2">
      <c r="A1754" s="12">
        <v>1071</v>
      </c>
      <c r="B1754" s="13">
        <v>1</v>
      </c>
      <c r="C1754" s="14">
        <v>250</v>
      </c>
      <c r="D1754" s="15">
        <f>74-10.5-7</f>
        <v>56.5</v>
      </c>
    </row>
    <row r="1755" spans="1:4" x14ac:dyDescent="0.2">
      <c r="A1755" s="12">
        <v>1071</v>
      </c>
      <c r="B1755" s="13">
        <v>2</v>
      </c>
      <c r="C1755" s="14">
        <v>400</v>
      </c>
      <c r="D1755" s="15">
        <f>175.4885925-105</f>
        <v>70.48859250000001</v>
      </c>
    </row>
    <row r="1756" spans="1:4" x14ac:dyDescent="0.2">
      <c r="A1756" s="12">
        <v>1072</v>
      </c>
      <c r="B1756" s="13">
        <v>1</v>
      </c>
      <c r="C1756" s="14">
        <v>400</v>
      </c>
      <c r="D1756" s="15">
        <f>142.281675-71.19</f>
        <v>71.091675000000009</v>
      </c>
    </row>
    <row r="1757" spans="1:4" x14ac:dyDescent="0.2">
      <c r="A1757" s="12">
        <v>1072</v>
      </c>
      <c r="B1757" s="13">
        <v>2</v>
      </c>
      <c r="C1757" s="14">
        <v>400</v>
      </c>
      <c r="D1757" s="15">
        <f>121.2037875-71.19</f>
        <v>50.013787500000007</v>
      </c>
    </row>
    <row r="1758" spans="1:4" x14ac:dyDescent="0.2">
      <c r="A1758" s="12">
        <v>1073</v>
      </c>
      <c r="B1758" s="13">
        <v>1</v>
      </c>
      <c r="C1758" s="14">
        <v>250</v>
      </c>
      <c r="D1758" s="15">
        <v>87.946110000000004</v>
      </c>
    </row>
    <row r="1759" spans="1:4" x14ac:dyDescent="0.2">
      <c r="A1759" s="12">
        <v>1073</v>
      </c>
      <c r="B1759" s="13">
        <v>2</v>
      </c>
      <c r="C1759" s="14">
        <v>250</v>
      </c>
      <c r="D1759" s="15">
        <v>112.5</v>
      </c>
    </row>
    <row r="1760" spans="1:4" x14ac:dyDescent="0.2">
      <c r="A1760" s="12">
        <v>1074</v>
      </c>
      <c r="B1760" s="13">
        <v>1</v>
      </c>
      <c r="C1760" s="14">
        <v>250</v>
      </c>
      <c r="D1760" s="15">
        <f>73.87308-9-9-9-4.8-6.3</f>
        <v>35.773080000000007</v>
      </c>
    </row>
    <row r="1761" spans="1:4" x14ac:dyDescent="0.2">
      <c r="A1761" s="12">
        <v>1075</v>
      </c>
      <c r="B1761" s="13">
        <v>1</v>
      </c>
      <c r="C1761" s="14">
        <v>400</v>
      </c>
      <c r="D1761" s="15">
        <f>115.70628-6.3</f>
        <v>109.40628000000001</v>
      </c>
    </row>
    <row r="1762" spans="1:4" x14ac:dyDescent="0.2">
      <c r="A1762" s="12">
        <v>1075</v>
      </c>
      <c r="B1762" s="13">
        <v>2</v>
      </c>
      <c r="C1762" s="14">
        <v>400</v>
      </c>
      <c r="D1762" s="15">
        <f>120.14373-6.6-3-28.2-18</f>
        <v>64.343730000000008</v>
      </c>
    </row>
    <row r="1763" spans="1:4" x14ac:dyDescent="0.2">
      <c r="A1763" s="12">
        <v>1076</v>
      </c>
      <c r="B1763" s="13">
        <v>1</v>
      </c>
      <c r="C1763" s="14">
        <v>180</v>
      </c>
      <c r="D1763" s="15">
        <f>99-10.5-10.8-47.25</f>
        <v>30.450000000000003</v>
      </c>
    </row>
    <row r="1764" spans="1:4" x14ac:dyDescent="0.2">
      <c r="A1764" s="12">
        <v>1076</v>
      </c>
      <c r="B1764" s="13">
        <v>2</v>
      </c>
      <c r="C1764" s="14">
        <v>180</v>
      </c>
      <c r="D1764" s="15">
        <f>95-47.25</f>
        <v>47.75</v>
      </c>
    </row>
    <row r="1765" spans="1:4" x14ac:dyDescent="0.2">
      <c r="A1765" s="12">
        <v>1077</v>
      </c>
      <c r="B1765" s="13">
        <v>1</v>
      </c>
      <c r="C1765" s="14">
        <v>250</v>
      </c>
      <c r="D1765" s="15">
        <f>69.9744375-8.75</f>
        <v>61.224437499999993</v>
      </c>
    </row>
    <row r="1766" spans="1:4" x14ac:dyDescent="0.2">
      <c r="A1766" s="12">
        <v>1077</v>
      </c>
      <c r="B1766" s="13">
        <v>2</v>
      </c>
      <c r="C1766" s="14">
        <v>400</v>
      </c>
      <c r="D1766" s="15">
        <f>139.17546-4.2-2.1-4.9-7</f>
        <v>120.97546</v>
      </c>
    </row>
    <row r="1767" spans="1:4" x14ac:dyDescent="0.2">
      <c r="A1767" s="12">
        <v>1078</v>
      </c>
      <c r="B1767" s="13">
        <v>1</v>
      </c>
      <c r="C1767" s="14">
        <v>630</v>
      </c>
      <c r="D1767" s="15">
        <f>272-71.88-48-60-18</f>
        <v>74.12</v>
      </c>
    </row>
    <row r="1768" spans="1:4" x14ac:dyDescent="0.2">
      <c r="A1768" s="12">
        <v>1078</v>
      </c>
      <c r="B1768" s="13">
        <v>2</v>
      </c>
      <c r="C1768" s="14">
        <v>630</v>
      </c>
      <c r="D1768" s="15">
        <f>276-71.88-60</f>
        <v>144.12</v>
      </c>
    </row>
    <row r="1769" spans="1:4" x14ac:dyDescent="0.2">
      <c r="A1769" s="12">
        <v>1079</v>
      </c>
      <c r="B1769" s="13">
        <v>1</v>
      </c>
      <c r="C1769" s="14">
        <v>320</v>
      </c>
      <c r="D1769" s="15">
        <v>138.3052725</v>
      </c>
    </row>
    <row r="1770" spans="1:4" x14ac:dyDescent="0.2">
      <c r="A1770" s="12">
        <v>1079</v>
      </c>
      <c r="B1770" s="13">
        <v>2</v>
      </c>
      <c r="C1770" s="14">
        <v>400</v>
      </c>
      <c r="D1770" s="15">
        <v>155.44611</v>
      </c>
    </row>
    <row r="1771" spans="1:4" x14ac:dyDescent="0.2">
      <c r="A1771" s="12">
        <v>1080</v>
      </c>
      <c r="B1771" s="13">
        <v>1</v>
      </c>
      <c r="C1771" s="14">
        <v>400</v>
      </c>
      <c r="D1771" s="15">
        <f>148.198275-8.25-93.5-8.25</f>
        <v>38.198274999999995</v>
      </c>
    </row>
    <row r="1772" spans="1:4" x14ac:dyDescent="0.2">
      <c r="A1772" s="12">
        <v>1080</v>
      </c>
      <c r="B1772" s="13">
        <v>2</v>
      </c>
      <c r="C1772" s="14">
        <v>400</v>
      </c>
      <c r="D1772" s="15">
        <f>149.52951-93.5-8.25</f>
        <v>47.779509999999988</v>
      </c>
    </row>
    <row r="1773" spans="1:4" x14ac:dyDescent="0.2">
      <c r="A1773" s="12">
        <v>1081</v>
      </c>
      <c r="B1773" s="13">
        <v>1</v>
      </c>
      <c r="C1773" s="14">
        <v>400</v>
      </c>
      <c r="D1773" s="15">
        <f>108.70497-5.6</f>
        <v>103.10497000000001</v>
      </c>
    </row>
    <row r="1774" spans="1:4" x14ac:dyDescent="0.2">
      <c r="A1774" s="12">
        <v>1081</v>
      </c>
      <c r="B1774" s="13">
        <v>2</v>
      </c>
      <c r="C1774" s="14">
        <v>400</v>
      </c>
      <c r="D1774" s="15">
        <f>131.1140925-4.9</f>
        <v>126.21409249999999</v>
      </c>
    </row>
    <row r="1775" spans="1:4" x14ac:dyDescent="0.2">
      <c r="A1775" s="12">
        <v>1082</v>
      </c>
      <c r="B1775" s="13">
        <v>1</v>
      </c>
      <c r="C1775" s="14">
        <v>250</v>
      </c>
      <c r="D1775" s="15">
        <v>0</v>
      </c>
    </row>
    <row r="1776" spans="1:4" x14ac:dyDescent="0.2">
      <c r="A1776" s="12">
        <v>1083</v>
      </c>
      <c r="B1776" s="13">
        <v>1</v>
      </c>
      <c r="C1776" s="14">
        <v>400</v>
      </c>
      <c r="D1776" s="15">
        <v>165.57828750000002</v>
      </c>
    </row>
    <row r="1777" spans="1:4" x14ac:dyDescent="0.2">
      <c r="A1777" s="12">
        <v>1083</v>
      </c>
      <c r="B1777" s="13">
        <v>2</v>
      </c>
      <c r="C1777" s="14">
        <v>250</v>
      </c>
      <c r="D1777" s="15">
        <f>97.264755-12</f>
        <v>85.264754999999994</v>
      </c>
    </row>
    <row r="1778" spans="1:4" x14ac:dyDescent="0.2">
      <c r="A1778" s="12">
        <v>1084</v>
      </c>
      <c r="B1778" s="13">
        <v>1</v>
      </c>
      <c r="C1778" s="14">
        <v>400</v>
      </c>
      <c r="D1778" s="15">
        <f>132.815115-8.25</f>
        <v>124.56511499999999</v>
      </c>
    </row>
    <row r="1779" spans="1:4" x14ac:dyDescent="0.2">
      <c r="A1779" s="12">
        <v>1084</v>
      </c>
      <c r="B1779" s="13">
        <v>2</v>
      </c>
      <c r="C1779" s="14">
        <v>400</v>
      </c>
      <c r="D1779" s="15">
        <v>136.069245</v>
      </c>
    </row>
    <row r="1780" spans="1:4" x14ac:dyDescent="0.2">
      <c r="A1780" s="12">
        <v>1085</v>
      </c>
      <c r="B1780" s="13">
        <v>1</v>
      </c>
      <c r="C1780" s="14">
        <v>250</v>
      </c>
      <c r="D1780" s="15">
        <v>0</v>
      </c>
    </row>
    <row r="1781" spans="1:4" x14ac:dyDescent="0.2">
      <c r="A1781" s="12">
        <v>1085</v>
      </c>
      <c r="B1781" s="13">
        <v>2</v>
      </c>
      <c r="C1781" s="14">
        <v>250</v>
      </c>
      <c r="D1781" s="15">
        <f>95.93352-25.2-30</f>
        <v>40.733519999999999</v>
      </c>
    </row>
    <row r="1782" spans="1:4" x14ac:dyDescent="0.2">
      <c r="A1782" s="12">
        <v>1086</v>
      </c>
      <c r="B1782" s="13">
        <v>1</v>
      </c>
      <c r="C1782" s="14">
        <v>630</v>
      </c>
      <c r="D1782" s="15">
        <f>226.99647-7</f>
        <v>219.99646999999999</v>
      </c>
    </row>
    <row r="1783" spans="1:4" x14ac:dyDescent="0.2">
      <c r="A1783" s="12">
        <v>1086</v>
      </c>
      <c r="B1783" s="13">
        <v>2</v>
      </c>
      <c r="C1783" s="14">
        <v>630</v>
      </c>
      <c r="D1783" s="15">
        <f>242.8973325-7</f>
        <v>235.8973325</v>
      </c>
    </row>
    <row r="1784" spans="1:4" x14ac:dyDescent="0.2">
      <c r="A1784" s="12">
        <v>1087</v>
      </c>
      <c r="B1784" s="13">
        <v>1</v>
      </c>
      <c r="C1784" s="14">
        <v>100</v>
      </c>
      <c r="D1784" s="15">
        <v>45</v>
      </c>
    </row>
    <row r="1785" spans="1:4" x14ac:dyDescent="0.2">
      <c r="A1785" s="12">
        <v>1087</v>
      </c>
      <c r="B1785" s="13">
        <v>2</v>
      </c>
      <c r="C1785" s="14">
        <v>100</v>
      </c>
      <c r="D1785" s="15">
        <v>40.661159999999995</v>
      </c>
    </row>
    <row r="1786" spans="1:4" x14ac:dyDescent="0.2">
      <c r="A1786" s="12">
        <v>1088</v>
      </c>
      <c r="B1786" s="13">
        <v>1</v>
      </c>
      <c r="C1786" s="14">
        <v>250</v>
      </c>
      <c r="D1786" s="15">
        <f>92.38356-8.54</f>
        <v>83.843559999999997</v>
      </c>
    </row>
    <row r="1787" spans="1:4" x14ac:dyDescent="0.2">
      <c r="A1787" s="12">
        <v>1088</v>
      </c>
      <c r="B1787" s="13">
        <v>2</v>
      </c>
      <c r="C1787" s="14">
        <v>160</v>
      </c>
      <c r="D1787" s="15">
        <v>28.069245000000006</v>
      </c>
    </row>
    <row r="1788" spans="1:4" x14ac:dyDescent="0.2">
      <c r="A1788" s="16">
        <v>1089</v>
      </c>
      <c r="B1788" s="13">
        <v>1</v>
      </c>
      <c r="C1788" s="17">
        <v>400</v>
      </c>
      <c r="D1788" s="15">
        <v>167.2053525</v>
      </c>
    </row>
    <row r="1789" spans="1:4" x14ac:dyDescent="0.2">
      <c r="A1789" s="16">
        <v>1089</v>
      </c>
      <c r="B1789" s="13">
        <v>2</v>
      </c>
      <c r="C1789" s="17">
        <v>400</v>
      </c>
      <c r="D1789" s="15">
        <v>154.18883249999999</v>
      </c>
    </row>
    <row r="1790" spans="1:4" x14ac:dyDescent="0.2">
      <c r="A1790" s="12">
        <v>1090</v>
      </c>
      <c r="B1790" s="13">
        <v>1</v>
      </c>
      <c r="C1790" s="14">
        <v>400</v>
      </c>
      <c r="D1790" s="15">
        <f>139.5699-33.48-6.3</f>
        <v>99.789900000000003</v>
      </c>
    </row>
    <row r="1791" spans="1:4" x14ac:dyDescent="0.2">
      <c r="A1791" s="12">
        <v>1090</v>
      </c>
      <c r="B1791" s="13">
        <v>2</v>
      </c>
      <c r="C1791" s="14">
        <v>400</v>
      </c>
      <c r="D1791" s="15">
        <v>126.55338</v>
      </c>
    </row>
    <row r="1792" spans="1:4" x14ac:dyDescent="0.2">
      <c r="A1792" s="12">
        <v>1091</v>
      </c>
      <c r="B1792" s="13">
        <v>1</v>
      </c>
      <c r="C1792" s="14">
        <v>250</v>
      </c>
      <c r="D1792" s="15">
        <v>0</v>
      </c>
    </row>
    <row r="1793" spans="1:4" x14ac:dyDescent="0.2">
      <c r="A1793" s="12">
        <v>1091</v>
      </c>
      <c r="B1793" s="13">
        <v>2</v>
      </c>
      <c r="C1793" s="14">
        <v>250</v>
      </c>
      <c r="D1793" s="15">
        <v>0</v>
      </c>
    </row>
    <row r="1794" spans="1:4" x14ac:dyDescent="0.2">
      <c r="A1794" s="12">
        <v>1092</v>
      </c>
      <c r="B1794" s="13">
        <v>1</v>
      </c>
      <c r="C1794" s="14">
        <v>400</v>
      </c>
      <c r="D1794" s="15">
        <f>97.26621-9-4.8</f>
        <v>83.466210000000004</v>
      </c>
    </row>
    <row r="1795" spans="1:4" x14ac:dyDescent="0.2">
      <c r="A1795" s="12">
        <v>1092</v>
      </c>
      <c r="B1795" s="13">
        <v>2</v>
      </c>
      <c r="C1795" s="14">
        <v>400</v>
      </c>
      <c r="D1795" s="15">
        <f>157.61553-25-6.6</f>
        <v>126.01553000000001</v>
      </c>
    </row>
    <row r="1796" spans="1:4" x14ac:dyDescent="0.2">
      <c r="A1796" s="12">
        <v>1093</v>
      </c>
      <c r="B1796" s="13">
        <v>1</v>
      </c>
      <c r="C1796" s="14">
        <v>400</v>
      </c>
      <c r="D1796" s="15">
        <v>0</v>
      </c>
    </row>
    <row r="1797" spans="1:4" x14ac:dyDescent="0.2">
      <c r="A1797" s="12">
        <v>1094</v>
      </c>
      <c r="B1797" s="13">
        <v>1</v>
      </c>
      <c r="C1797" s="14">
        <v>250</v>
      </c>
      <c r="D1797" s="15">
        <f>84.81879-9-6-9-4.2-9-8.22-12-6.3</f>
        <v>21.098790000000005</v>
      </c>
    </row>
    <row r="1798" spans="1:4" x14ac:dyDescent="0.2">
      <c r="A1798" s="12">
        <v>1095</v>
      </c>
      <c r="B1798" s="13">
        <v>1</v>
      </c>
      <c r="C1798" s="14">
        <v>400</v>
      </c>
      <c r="D1798" s="15">
        <v>160.47522000000001</v>
      </c>
    </row>
    <row r="1799" spans="1:4" x14ac:dyDescent="0.2">
      <c r="A1799" s="12">
        <v>1095</v>
      </c>
      <c r="B1799" s="13">
        <v>2</v>
      </c>
      <c r="C1799" s="14">
        <v>400</v>
      </c>
      <c r="D1799" s="15">
        <v>158.89746</v>
      </c>
    </row>
    <row r="1800" spans="1:4" x14ac:dyDescent="0.2">
      <c r="A1800" s="12">
        <v>1096</v>
      </c>
      <c r="B1800" s="13">
        <v>1</v>
      </c>
      <c r="C1800" s="14">
        <v>400</v>
      </c>
      <c r="D1800" s="15">
        <f>160.9929225-5.5</f>
        <v>155.49292249999999</v>
      </c>
    </row>
    <row r="1801" spans="1:4" x14ac:dyDescent="0.2">
      <c r="A1801" s="12">
        <v>1096</v>
      </c>
      <c r="B1801" s="13">
        <v>2</v>
      </c>
      <c r="C1801" s="14">
        <v>400</v>
      </c>
      <c r="D1801" s="15">
        <f>131.927625-27.5</f>
        <v>104.42762500000001</v>
      </c>
    </row>
    <row r="1802" spans="1:4" x14ac:dyDescent="0.2">
      <c r="A1802" s="12">
        <v>1097</v>
      </c>
      <c r="B1802" s="13">
        <v>1</v>
      </c>
      <c r="C1802" s="14">
        <v>400</v>
      </c>
      <c r="D1802" s="15">
        <f>97.5373875-9-21-10.8-7.2-8.1</f>
        <v>41.437387499999993</v>
      </c>
    </row>
    <row r="1803" spans="1:4" x14ac:dyDescent="0.2">
      <c r="A1803" s="12">
        <v>1097</v>
      </c>
      <c r="B1803" s="13">
        <v>2</v>
      </c>
      <c r="C1803" s="14">
        <v>400</v>
      </c>
      <c r="D1803" s="15">
        <f>168.2407575-13.2</f>
        <v>155.04075750000001</v>
      </c>
    </row>
    <row r="1804" spans="1:4" x14ac:dyDescent="0.2">
      <c r="A1804" s="12">
        <v>1098</v>
      </c>
      <c r="B1804" s="13">
        <v>1</v>
      </c>
      <c r="C1804" s="14">
        <v>250</v>
      </c>
      <c r="D1804" s="15">
        <f>104.73801-9-6-6.3-1.2</f>
        <v>82.238010000000003</v>
      </c>
    </row>
    <row r="1805" spans="1:4" x14ac:dyDescent="0.2">
      <c r="A1805" s="12">
        <v>1099</v>
      </c>
      <c r="B1805" s="13">
        <v>1</v>
      </c>
      <c r="C1805" s="14">
        <v>400</v>
      </c>
      <c r="D1805" s="15">
        <v>105.9685425</v>
      </c>
    </row>
    <row r="1806" spans="1:4" x14ac:dyDescent="0.2">
      <c r="A1806" s="12">
        <v>1099</v>
      </c>
      <c r="B1806" s="13">
        <v>2</v>
      </c>
      <c r="C1806" s="14">
        <v>400</v>
      </c>
      <c r="D1806" s="15">
        <f>138.731715-5.5-5.5-14.3</f>
        <v>113.43171500000001</v>
      </c>
    </row>
    <row r="1807" spans="1:4" x14ac:dyDescent="0.2">
      <c r="A1807" s="12">
        <v>1100</v>
      </c>
      <c r="B1807" s="13">
        <v>1</v>
      </c>
      <c r="C1807" s="14">
        <v>400</v>
      </c>
      <c r="D1807" s="15">
        <v>171.93863250000001</v>
      </c>
    </row>
    <row r="1808" spans="1:4" x14ac:dyDescent="0.2">
      <c r="A1808" s="12">
        <v>1100</v>
      </c>
      <c r="B1808" s="13">
        <v>2</v>
      </c>
      <c r="C1808" s="14">
        <v>400</v>
      </c>
      <c r="D1808" s="15">
        <v>135.92132999999998</v>
      </c>
    </row>
    <row r="1809" spans="1:4" x14ac:dyDescent="0.2">
      <c r="A1809" s="12">
        <v>1101</v>
      </c>
      <c r="B1809" s="13">
        <v>1</v>
      </c>
      <c r="C1809" s="14">
        <v>250</v>
      </c>
      <c r="D1809" s="15">
        <f>64.131795-57.02</f>
        <v>7.1117949999999936</v>
      </c>
    </row>
    <row r="1810" spans="1:4" x14ac:dyDescent="0.2">
      <c r="A1810" s="12">
        <v>1101</v>
      </c>
      <c r="B1810" s="13">
        <v>2</v>
      </c>
      <c r="C1810" s="14">
        <v>250</v>
      </c>
      <c r="D1810" s="15">
        <f>105.0302925-57.02</f>
        <v>48.010292499999998</v>
      </c>
    </row>
    <row r="1811" spans="1:4" x14ac:dyDescent="0.2">
      <c r="A1811" s="12">
        <v>1102</v>
      </c>
      <c r="B1811" s="13">
        <v>1</v>
      </c>
      <c r="C1811" s="14">
        <v>250</v>
      </c>
      <c r="D1811" s="15">
        <f>101.406375-33.28-25.58</f>
        <v>42.546374999999998</v>
      </c>
    </row>
    <row r="1812" spans="1:4" x14ac:dyDescent="0.2">
      <c r="A1812" s="12">
        <v>1102</v>
      </c>
      <c r="B1812" s="13">
        <v>2</v>
      </c>
      <c r="C1812" s="14">
        <v>400</v>
      </c>
      <c r="D1812" s="15">
        <v>180</v>
      </c>
    </row>
    <row r="1813" spans="1:4" x14ac:dyDescent="0.2">
      <c r="A1813" s="12">
        <v>1103</v>
      </c>
      <c r="B1813" s="13">
        <v>1</v>
      </c>
      <c r="C1813" s="14">
        <v>400</v>
      </c>
      <c r="D1813" s="15">
        <f>146.86704-2.2-8.25-5.5-5.5-5.5-9.9-19.25-13.75-5.5-8.25-8.25-8.25-5.5-8.25-8.25-8.25-7.32-3.91</f>
        <v>5.2870400000000082</v>
      </c>
    </row>
    <row r="1814" spans="1:4" x14ac:dyDescent="0.2">
      <c r="A1814" s="12">
        <v>1103</v>
      </c>
      <c r="B1814" s="13">
        <v>2</v>
      </c>
      <c r="C1814" s="14">
        <v>250</v>
      </c>
      <c r="D1814" s="15">
        <f>92.4575175-18-5.5-8.25-8.25-5.5-8.25-8.25-0.55-8.25</f>
        <v>21.657517499999994</v>
      </c>
    </row>
    <row r="1815" spans="1:4" x14ac:dyDescent="0.2">
      <c r="A1815" s="12">
        <v>1104</v>
      </c>
      <c r="B1815" s="13">
        <v>1</v>
      </c>
      <c r="C1815" s="14">
        <v>400</v>
      </c>
      <c r="D1815" s="15">
        <f>143.11986-15.6</f>
        <v>127.51985999999999</v>
      </c>
    </row>
    <row r="1816" spans="1:4" x14ac:dyDescent="0.2">
      <c r="A1816" s="12">
        <v>1104</v>
      </c>
      <c r="B1816" s="13">
        <v>2</v>
      </c>
      <c r="C1816" s="14">
        <v>630</v>
      </c>
      <c r="D1816" s="15">
        <f>193.56768-8.4-7.8</f>
        <v>177.36767999999998</v>
      </c>
    </row>
    <row r="1817" spans="1:4" x14ac:dyDescent="0.2">
      <c r="A1817" s="12">
        <v>1105</v>
      </c>
      <c r="B1817" s="13">
        <v>1</v>
      </c>
      <c r="C1817" s="14">
        <v>400</v>
      </c>
      <c r="D1817" s="15">
        <v>152.1180225</v>
      </c>
    </row>
    <row r="1818" spans="1:4" x14ac:dyDescent="0.2">
      <c r="A1818" s="12">
        <v>1105</v>
      </c>
      <c r="B1818" s="13">
        <v>2</v>
      </c>
      <c r="C1818" s="14">
        <v>250</v>
      </c>
      <c r="D1818" s="15">
        <v>112.5</v>
      </c>
    </row>
    <row r="1819" spans="1:4" x14ac:dyDescent="0.2">
      <c r="A1819" s="12">
        <v>1106</v>
      </c>
      <c r="B1819" s="13">
        <v>1</v>
      </c>
      <c r="C1819" s="14">
        <v>400</v>
      </c>
      <c r="D1819" s="15">
        <f>137.844225-52.5</f>
        <v>85.344224999999994</v>
      </c>
    </row>
    <row r="1820" spans="1:4" x14ac:dyDescent="0.2">
      <c r="A1820" s="12">
        <v>1106</v>
      </c>
      <c r="B1820" s="13">
        <v>2</v>
      </c>
      <c r="C1820" s="14">
        <v>400</v>
      </c>
      <c r="D1820" s="15">
        <f>119.4288075-27.5-8.25-52.5</f>
        <v>31.178807500000005</v>
      </c>
    </row>
    <row r="1821" spans="1:4" x14ac:dyDescent="0.2">
      <c r="A1821" s="16">
        <v>1107</v>
      </c>
      <c r="B1821" s="13">
        <v>1</v>
      </c>
      <c r="C1821" s="17">
        <v>250</v>
      </c>
      <c r="D1821" s="15">
        <f>79.2930825-17.5-17.5</f>
        <v>44.293082499999997</v>
      </c>
    </row>
    <row r="1822" spans="1:4" x14ac:dyDescent="0.2">
      <c r="A1822" s="16">
        <v>1107</v>
      </c>
      <c r="B1822" s="13">
        <v>2</v>
      </c>
      <c r="C1822" s="17">
        <v>400</v>
      </c>
      <c r="D1822" s="15">
        <f>158.256495-17.5-9.8</f>
        <v>130.95649499999999</v>
      </c>
    </row>
    <row r="1823" spans="1:4" x14ac:dyDescent="0.2">
      <c r="A1823" s="12">
        <v>1108</v>
      </c>
      <c r="B1823" s="13">
        <v>1</v>
      </c>
      <c r="C1823" s="14">
        <v>400</v>
      </c>
      <c r="D1823" s="15">
        <f>161.5845825-30-25.02-27-12-50.4</f>
        <v>17.164582500000016</v>
      </c>
    </row>
    <row r="1824" spans="1:4" x14ac:dyDescent="0.2">
      <c r="A1824" s="12">
        <v>1108</v>
      </c>
      <c r="B1824" s="13">
        <v>2</v>
      </c>
      <c r="C1824" s="14">
        <v>400</v>
      </c>
      <c r="D1824" s="15">
        <f>136.5869475-25.02-9-9-3</f>
        <v>90.566947500000012</v>
      </c>
    </row>
    <row r="1825" spans="1:4" x14ac:dyDescent="0.2">
      <c r="A1825" s="12">
        <v>1109</v>
      </c>
      <c r="B1825" s="13">
        <v>1</v>
      </c>
      <c r="C1825" s="14">
        <v>250</v>
      </c>
      <c r="D1825" s="15">
        <f>64-3.9</f>
        <v>60.1</v>
      </c>
    </row>
    <row r="1826" spans="1:4" x14ac:dyDescent="0.2">
      <c r="A1826" s="12">
        <v>1109</v>
      </c>
      <c r="B1826" s="13">
        <v>2</v>
      </c>
      <c r="C1826" s="14">
        <v>400</v>
      </c>
      <c r="D1826" s="15">
        <f>150-6-1.8-3.6</f>
        <v>138.6</v>
      </c>
    </row>
    <row r="1827" spans="1:4" x14ac:dyDescent="0.2">
      <c r="A1827" s="12">
        <v>1110</v>
      </c>
      <c r="B1827" s="13">
        <v>1</v>
      </c>
      <c r="C1827" s="14">
        <v>400</v>
      </c>
      <c r="D1827" s="15">
        <f>141.7639725-6.6-6</f>
        <v>129.1639725</v>
      </c>
    </row>
    <row r="1828" spans="1:4" x14ac:dyDescent="0.2">
      <c r="A1828" s="12">
        <v>1110</v>
      </c>
      <c r="B1828" s="13">
        <v>2</v>
      </c>
      <c r="C1828" s="14">
        <v>400</v>
      </c>
      <c r="D1828" s="15">
        <f>138.435885-6</f>
        <v>132.43588500000001</v>
      </c>
    </row>
    <row r="1829" spans="1:4" x14ac:dyDescent="0.2">
      <c r="A1829" s="12">
        <v>1111</v>
      </c>
      <c r="B1829" s="13">
        <v>1</v>
      </c>
      <c r="C1829" s="14">
        <v>250</v>
      </c>
      <c r="D1829" s="15">
        <v>97.634542500000009</v>
      </c>
    </row>
    <row r="1830" spans="1:4" x14ac:dyDescent="0.2">
      <c r="A1830" s="12">
        <v>1111</v>
      </c>
      <c r="B1830" s="13">
        <v>2</v>
      </c>
      <c r="C1830" s="14">
        <v>250</v>
      </c>
      <c r="D1830" s="15">
        <v>57.623535000000004</v>
      </c>
    </row>
    <row r="1831" spans="1:4" x14ac:dyDescent="0.2">
      <c r="A1831" s="12">
        <v>1112</v>
      </c>
      <c r="B1831" s="13">
        <v>1</v>
      </c>
      <c r="C1831" s="14">
        <v>400</v>
      </c>
      <c r="D1831" s="15">
        <f>169.2761625-6.3-10.5</f>
        <v>152.47616249999999</v>
      </c>
    </row>
    <row r="1832" spans="1:4" x14ac:dyDescent="0.2">
      <c r="A1832" s="12">
        <v>1112</v>
      </c>
      <c r="B1832" s="13">
        <v>2</v>
      </c>
      <c r="C1832" s="14">
        <v>400</v>
      </c>
      <c r="D1832" s="15">
        <v>147.60661500000001</v>
      </c>
    </row>
    <row r="1833" spans="1:4" x14ac:dyDescent="0.2">
      <c r="A1833" s="12">
        <v>1113</v>
      </c>
      <c r="B1833" s="13">
        <v>1</v>
      </c>
      <c r="C1833" s="14">
        <v>630</v>
      </c>
      <c r="D1833" s="15">
        <f>241.78672-31.8-6.6-7.8-9-17.4-6.05-9-9-6</f>
        <v>139.13671999999997</v>
      </c>
    </row>
    <row r="1834" spans="1:4" x14ac:dyDescent="0.2">
      <c r="A1834" s="12">
        <v>1114</v>
      </c>
      <c r="B1834" s="13">
        <v>1</v>
      </c>
      <c r="C1834" s="14">
        <v>250</v>
      </c>
      <c r="D1834" s="15">
        <v>0</v>
      </c>
    </row>
    <row r="1835" spans="1:4" x14ac:dyDescent="0.2">
      <c r="A1835" s="12">
        <v>1114</v>
      </c>
      <c r="B1835" s="13">
        <v>2</v>
      </c>
      <c r="C1835" s="14">
        <v>250</v>
      </c>
      <c r="D1835" s="15">
        <f>82.5472125-1.2-6.3-0.6-9</f>
        <v>65.447212500000006</v>
      </c>
    </row>
    <row r="1836" spans="1:4" x14ac:dyDescent="0.2">
      <c r="A1836" s="12">
        <v>1115</v>
      </c>
      <c r="B1836" s="13">
        <v>1</v>
      </c>
      <c r="C1836" s="14">
        <v>400</v>
      </c>
      <c r="D1836" s="15">
        <f>158.4783675-10.8-63-15-7.2</f>
        <v>62.478367499999976</v>
      </c>
    </row>
    <row r="1837" spans="1:4" x14ac:dyDescent="0.2">
      <c r="A1837" s="12">
        <v>1115</v>
      </c>
      <c r="B1837" s="13">
        <v>2</v>
      </c>
      <c r="C1837" s="14">
        <v>400</v>
      </c>
      <c r="D1837" s="15">
        <f>140.1369075-63-15-6.3-54</f>
        <v>1.8369075000000095</v>
      </c>
    </row>
    <row r="1838" spans="1:4" x14ac:dyDescent="0.2">
      <c r="A1838" s="12">
        <v>1116</v>
      </c>
      <c r="B1838" s="13">
        <v>1</v>
      </c>
      <c r="C1838" s="14">
        <v>400</v>
      </c>
      <c r="D1838" s="15">
        <v>148.93785</v>
      </c>
    </row>
    <row r="1839" spans="1:4" x14ac:dyDescent="0.2">
      <c r="A1839" s="12">
        <v>1116</v>
      </c>
      <c r="B1839" s="13">
        <v>2</v>
      </c>
      <c r="C1839" s="14">
        <v>400</v>
      </c>
      <c r="D1839" s="15">
        <f>174.3052725-9.59</f>
        <v>164.7152725</v>
      </c>
    </row>
    <row r="1840" spans="1:4" x14ac:dyDescent="0.2">
      <c r="A1840" s="12">
        <v>1117</v>
      </c>
      <c r="B1840" s="13">
        <v>1</v>
      </c>
      <c r="C1840" s="14">
        <v>630</v>
      </c>
      <c r="D1840" s="15">
        <f>216.7163775-10.5-35-1.75-11.41</f>
        <v>158.0563775</v>
      </c>
    </row>
    <row r="1841" spans="1:4" x14ac:dyDescent="0.2">
      <c r="A1841" s="12">
        <v>1117</v>
      </c>
      <c r="B1841" s="13">
        <v>2</v>
      </c>
      <c r="C1841" s="14">
        <v>630</v>
      </c>
      <c r="D1841" s="15">
        <f>246.52125-7</f>
        <v>239.52125000000001</v>
      </c>
    </row>
    <row r="1842" spans="1:4" x14ac:dyDescent="0.2">
      <c r="A1842" s="16">
        <v>1118</v>
      </c>
      <c r="B1842" s="13">
        <v>1</v>
      </c>
      <c r="C1842" s="14">
        <v>1000</v>
      </c>
      <c r="D1842" s="15">
        <f>450-123-87.5-105</f>
        <v>134.5</v>
      </c>
    </row>
    <row r="1843" spans="1:4" x14ac:dyDescent="0.2">
      <c r="A1843" s="16">
        <v>1118</v>
      </c>
      <c r="B1843" s="13">
        <v>2</v>
      </c>
      <c r="C1843" s="14">
        <v>1000</v>
      </c>
      <c r="D1843" s="15">
        <f>450-123-87.5-10.5-21</f>
        <v>208</v>
      </c>
    </row>
    <row r="1844" spans="1:4" x14ac:dyDescent="0.2">
      <c r="A1844" s="16">
        <v>1118</v>
      </c>
      <c r="B1844" s="13">
        <v>3</v>
      </c>
      <c r="C1844" s="17">
        <v>630</v>
      </c>
      <c r="D1844" s="15">
        <f>229-10.5</f>
        <v>218.5</v>
      </c>
    </row>
    <row r="1845" spans="1:4" x14ac:dyDescent="0.2">
      <c r="A1845" s="16">
        <v>1118</v>
      </c>
      <c r="B1845" s="13">
        <v>4</v>
      </c>
      <c r="C1845" s="17">
        <v>630</v>
      </c>
      <c r="D1845" s="15">
        <f>275-0.14-10.5-77</f>
        <v>187.36</v>
      </c>
    </row>
    <row r="1846" spans="1:4" x14ac:dyDescent="0.2">
      <c r="A1846" s="12">
        <v>1119</v>
      </c>
      <c r="B1846" s="13">
        <v>1</v>
      </c>
      <c r="C1846" s="14">
        <v>100</v>
      </c>
      <c r="D1846" s="15">
        <v>34.867822500000003</v>
      </c>
    </row>
    <row r="1847" spans="1:4" x14ac:dyDescent="0.2">
      <c r="A1847" s="12">
        <v>1119</v>
      </c>
      <c r="B1847" s="13">
        <v>2</v>
      </c>
      <c r="C1847" s="14">
        <v>100</v>
      </c>
      <c r="D1847" s="15">
        <v>45</v>
      </c>
    </row>
    <row r="1848" spans="1:4" x14ac:dyDescent="0.2">
      <c r="A1848" s="12">
        <v>1120</v>
      </c>
      <c r="B1848" s="13">
        <v>1</v>
      </c>
      <c r="C1848" s="14">
        <v>400</v>
      </c>
      <c r="D1848" s="15">
        <v>132.8890725</v>
      </c>
    </row>
    <row r="1849" spans="1:4" x14ac:dyDescent="0.2">
      <c r="A1849" s="12">
        <v>1120</v>
      </c>
      <c r="B1849" s="13">
        <v>2</v>
      </c>
      <c r="C1849" s="14">
        <v>400</v>
      </c>
      <c r="D1849" s="15">
        <f>128.1557925-0.7</f>
        <v>127.45579249999999</v>
      </c>
    </row>
    <row r="1850" spans="1:4" x14ac:dyDescent="0.2">
      <c r="A1850" s="16">
        <v>1121</v>
      </c>
      <c r="B1850" s="13">
        <v>1</v>
      </c>
      <c r="C1850" s="17">
        <v>400</v>
      </c>
      <c r="D1850" s="15">
        <f>210.02256-8.25-5.5-7.5--2.75-5.5-8.25-8.25-5.5-8.25-5.78</f>
        <v>149.99256</v>
      </c>
    </row>
    <row r="1851" spans="1:4" x14ac:dyDescent="0.2">
      <c r="A1851" s="16">
        <v>1122</v>
      </c>
      <c r="B1851" s="13">
        <v>1</v>
      </c>
      <c r="C1851" s="17">
        <v>250</v>
      </c>
      <c r="D1851" s="15">
        <f>70.49214-10.5-5.5-10.5</f>
        <v>43.992140000000006</v>
      </c>
    </row>
    <row r="1852" spans="1:4" x14ac:dyDescent="0.2">
      <c r="A1852" s="12">
        <v>1122</v>
      </c>
      <c r="B1852" s="13">
        <v>2</v>
      </c>
      <c r="C1852" s="14">
        <v>250</v>
      </c>
      <c r="D1852" s="15">
        <f>81.14202-14-10.5-21</f>
        <v>35.642020000000002</v>
      </c>
    </row>
    <row r="1853" spans="1:4" x14ac:dyDescent="0.2">
      <c r="A1853" s="12">
        <v>1123</v>
      </c>
      <c r="B1853" s="13">
        <v>1</v>
      </c>
      <c r="C1853" s="14">
        <v>400</v>
      </c>
      <c r="D1853" s="15">
        <v>162.54603</v>
      </c>
    </row>
    <row r="1854" spans="1:4" x14ac:dyDescent="0.2">
      <c r="A1854" s="12">
        <v>1123</v>
      </c>
      <c r="B1854" s="13">
        <v>2</v>
      </c>
      <c r="C1854" s="14">
        <v>400</v>
      </c>
      <c r="D1854" s="15">
        <v>120.53817000000002</v>
      </c>
    </row>
    <row r="1855" spans="1:4" x14ac:dyDescent="0.2">
      <c r="A1855" s="12">
        <v>1124</v>
      </c>
      <c r="B1855" s="13">
        <v>1</v>
      </c>
      <c r="C1855" s="14">
        <v>250</v>
      </c>
      <c r="D1855" s="15">
        <f>99.927225-22</f>
        <v>77.927225000000007</v>
      </c>
    </row>
    <row r="1856" spans="1:4" x14ac:dyDescent="0.2">
      <c r="A1856" s="12">
        <v>1124</v>
      </c>
      <c r="B1856" s="13">
        <v>2</v>
      </c>
      <c r="C1856" s="14">
        <v>250</v>
      </c>
      <c r="D1856" s="15">
        <v>104.2907175</v>
      </c>
    </row>
    <row r="1857" spans="1:4" x14ac:dyDescent="0.2">
      <c r="A1857" s="12">
        <v>1125</v>
      </c>
      <c r="B1857" s="13">
        <v>1</v>
      </c>
      <c r="C1857" s="14">
        <v>400</v>
      </c>
      <c r="D1857" s="15">
        <f>131.77971-1.1-0.06</f>
        <v>130.61971</v>
      </c>
    </row>
    <row r="1858" spans="1:4" x14ac:dyDescent="0.2">
      <c r="A1858" s="12">
        <v>1125</v>
      </c>
      <c r="B1858" s="13">
        <v>2</v>
      </c>
      <c r="C1858" s="14">
        <v>400</v>
      </c>
      <c r="D1858" s="15">
        <f>131.48388-8.25</f>
        <v>123.23388</v>
      </c>
    </row>
    <row r="1859" spans="1:4" x14ac:dyDescent="0.2">
      <c r="A1859" s="12">
        <v>1126</v>
      </c>
      <c r="B1859" s="13">
        <v>1</v>
      </c>
      <c r="C1859" s="14">
        <v>400</v>
      </c>
      <c r="D1859" s="15">
        <f>156.37872-3-9-6-6-9</f>
        <v>123.37871999999999</v>
      </c>
    </row>
    <row r="1860" spans="1:4" x14ac:dyDescent="0.2">
      <c r="A1860" s="12">
        <v>1127</v>
      </c>
      <c r="B1860" s="13">
        <v>1</v>
      </c>
      <c r="C1860" s="14">
        <v>400</v>
      </c>
      <c r="D1860" s="15">
        <v>109.740375</v>
      </c>
    </row>
    <row r="1861" spans="1:4" x14ac:dyDescent="0.2">
      <c r="A1861" s="12">
        <v>1127</v>
      </c>
      <c r="B1861" s="13">
        <v>2</v>
      </c>
      <c r="C1861" s="14">
        <v>400</v>
      </c>
      <c r="D1861" s="15">
        <f>136.5869475-17.5</f>
        <v>119.08694750000001</v>
      </c>
    </row>
    <row r="1862" spans="1:4" x14ac:dyDescent="0.2">
      <c r="A1862" s="12">
        <v>1128</v>
      </c>
      <c r="B1862" s="13">
        <v>1</v>
      </c>
      <c r="C1862" s="14">
        <v>400</v>
      </c>
      <c r="D1862" s="15">
        <v>120.34095000000002</v>
      </c>
    </row>
    <row r="1863" spans="1:4" x14ac:dyDescent="0.2">
      <c r="A1863" s="12">
        <v>1128</v>
      </c>
      <c r="B1863" s="13">
        <v>2</v>
      </c>
      <c r="C1863" s="14">
        <v>400</v>
      </c>
      <c r="D1863" s="15">
        <f>161.75715-60-30</f>
        <v>71.757149999999996</v>
      </c>
    </row>
    <row r="1864" spans="1:4" x14ac:dyDescent="0.2">
      <c r="A1864" s="12">
        <v>1129</v>
      </c>
      <c r="B1864" s="13">
        <v>1</v>
      </c>
      <c r="C1864" s="14">
        <v>400</v>
      </c>
      <c r="D1864" s="15">
        <f>149.23368-9-6.3-15</f>
        <v>118.93367999999998</v>
      </c>
    </row>
    <row r="1865" spans="1:4" x14ac:dyDescent="0.2">
      <c r="A1865" s="12">
        <v>1129</v>
      </c>
      <c r="B1865" s="13">
        <v>2</v>
      </c>
      <c r="C1865" s="14">
        <v>400</v>
      </c>
      <c r="D1865" s="15">
        <f>173.047995-3</f>
        <v>170.04799499999999</v>
      </c>
    </row>
    <row r="1866" spans="1:4" x14ac:dyDescent="0.2">
      <c r="A1866" s="12">
        <v>1130</v>
      </c>
      <c r="B1866" s="13">
        <v>1</v>
      </c>
      <c r="C1866" s="14">
        <v>250</v>
      </c>
      <c r="D1866" s="15">
        <f>113-0.63-10.5</f>
        <v>101.87</v>
      </c>
    </row>
    <row r="1867" spans="1:4" x14ac:dyDescent="0.2">
      <c r="A1867" s="12">
        <v>1130</v>
      </c>
      <c r="B1867" s="13">
        <v>2</v>
      </c>
      <c r="C1867" s="14">
        <v>200</v>
      </c>
      <c r="D1867" s="15">
        <f>52.6514625-0.7</f>
        <v>51.951462499999998</v>
      </c>
    </row>
    <row r="1868" spans="1:4" x14ac:dyDescent="0.2">
      <c r="A1868" s="12">
        <v>1131</v>
      </c>
      <c r="B1868" s="13">
        <v>1</v>
      </c>
      <c r="C1868" s="14">
        <v>400</v>
      </c>
      <c r="D1868" s="15">
        <f>156.53082-9</f>
        <v>147.53082000000001</v>
      </c>
    </row>
    <row r="1869" spans="1:4" x14ac:dyDescent="0.2">
      <c r="A1869" s="12">
        <v>1131</v>
      </c>
      <c r="B1869" s="13">
        <v>2</v>
      </c>
      <c r="C1869" s="14">
        <v>400</v>
      </c>
      <c r="D1869" s="15">
        <v>163.23630000000003</v>
      </c>
    </row>
    <row r="1870" spans="1:4" x14ac:dyDescent="0.2">
      <c r="A1870" s="12">
        <v>1132</v>
      </c>
      <c r="B1870" s="13">
        <v>1</v>
      </c>
      <c r="C1870" s="14">
        <v>400</v>
      </c>
      <c r="D1870" s="15">
        <f>170.977185-9</f>
        <v>161.97718499999999</v>
      </c>
    </row>
    <row r="1871" spans="1:4" x14ac:dyDescent="0.2">
      <c r="A1871" s="12">
        <v>1132</v>
      </c>
      <c r="B1871" s="13">
        <v>2</v>
      </c>
      <c r="C1871" s="14">
        <v>400</v>
      </c>
      <c r="D1871" s="15">
        <v>157.66483500000001</v>
      </c>
    </row>
    <row r="1872" spans="1:4" x14ac:dyDescent="0.2">
      <c r="A1872" s="12">
        <v>1133</v>
      </c>
      <c r="B1872" s="13">
        <v>1</v>
      </c>
      <c r="C1872" s="14">
        <v>400</v>
      </c>
      <c r="D1872" s="15">
        <f>132.07554-8.25-8.25-8.25-8.25-10.5-7.87-25.03-16.5</f>
        <v>39.175539999999984</v>
      </c>
    </row>
    <row r="1873" spans="1:4" x14ac:dyDescent="0.2">
      <c r="A1873" s="12">
        <v>1133</v>
      </c>
      <c r="B1873" s="13">
        <v>2</v>
      </c>
      <c r="C1873" s="14">
        <v>400</v>
      </c>
      <c r="D1873" s="15">
        <f>150.9347025-12-3.3</f>
        <v>135.63470249999997</v>
      </c>
    </row>
    <row r="1874" spans="1:4" x14ac:dyDescent="0.2">
      <c r="A1874" s="12">
        <v>1134</v>
      </c>
      <c r="B1874" s="13">
        <v>1</v>
      </c>
      <c r="C1874" s="14">
        <v>400</v>
      </c>
      <c r="D1874" s="15">
        <f>151.2305325-29.15</f>
        <v>122.0805325</v>
      </c>
    </row>
    <row r="1875" spans="1:4" x14ac:dyDescent="0.2">
      <c r="A1875" s="12">
        <v>1134</v>
      </c>
      <c r="B1875" s="13">
        <v>2</v>
      </c>
      <c r="C1875" s="14">
        <v>250</v>
      </c>
      <c r="D1875" s="15">
        <f>60.72975-27.5</f>
        <v>33.229750000000003</v>
      </c>
    </row>
    <row r="1876" spans="1:4" x14ac:dyDescent="0.2">
      <c r="A1876" s="12">
        <v>1135</v>
      </c>
      <c r="B1876" s="13">
        <v>2</v>
      </c>
      <c r="C1876" s="14">
        <v>250</v>
      </c>
      <c r="D1876" s="15">
        <v>90.238792500000002</v>
      </c>
    </row>
    <row r="1877" spans="1:4" x14ac:dyDescent="0.2">
      <c r="A1877" s="12">
        <v>1135</v>
      </c>
      <c r="B1877" s="13">
        <v>1</v>
      </c>
      <c r="C1877" s="14">
        <v>400</v>
      </c>
      <c r="D1877" s="15">
        <v>169.49385000000001</v>
      </c>
    </row>
    <row r="1878" spans="1:4" x14ac:dyDescent="0.2">
      <c r="A1878" s="16">
        <v>1136</v>
      </c>
      <c r="B1878" s="13">
        <v>1</v>
      </c>
      <c r="C1878" s="17">
        <v>320</v>
      </c>
      <c r="D1878" s="15">
        <f>106.13376-21</f>
        <v>85.133759999999995</v>
      </c>
    </row>
    <row r="1879" spans="1:4" x14ac:dyDescent="0.2">
      <c r="A1879" s="16">
        <v>1136</v>
      </c>
      <c r="B1879" s="13">
        <v>2</v>
      </c>
      <c r="C1879" s="17">
        <v>400</v>
      </c>
      <c r="D1879" s="15">
        <f>145.6097625-21</f>
        <v>124.60976249999999</v>
      </c>
    </row>
    <row r="1880" spans="1:4" x14ac:dyDescent="0.2">
      <c r="A1880" s="16">
        <v>1137</v>
      </c>
      <c r="B1880" s="13">
        <v>1</v>
      </c>
      <c r="C1880" s="17">
        <v>250</v>
      </c>
      <c r="D1880" s="15">
        <v>102.3678225</v>
      </c>
    </row>
    <row r="1881" spans="1:4" x14ac:dyDescent="0.2">
      <c r="A1881" s="16">
        <v>1137</v>
      </c>
      <c r="B1881" s="13">
        <v>2</v>
      </c>
      <c r="C1881" s="17">
        <v>250</v>
      </c>
      <c r="D1881" s="15">
        <f>87.2804925-14.7</f>
        <v>72.580492499999991</v>
      </c>
    </row>
    <row r="1882" spans="1:4" x14ac:dyDescent="0.2">
      <c r="A1882" s="12">
        <v>1138</v>
      </c>
      <c r="B1882" s="13">
        <v>1</v>
      </c>
      <c r="C1882" s="14">
        <v>400</v>
      </c>
      <c r="D1882" s="15">
        <v>146.20142250000001</v>
      </c>
    </row>
    <row r="1883" spans="1:4" x14ac:dyDescent="0.2">
      <c r="A1883" s="14">
        <v>1138</v>
      </c>
      <c r="B1883" s="29">
        <v>2</v>
      </c>
      <c r="C1883" s="14">
        <v>320</v>
      </c>
      <c r="D1883" s="15">
        <v>119.5200675</v>
      </c>
    </row>
    <row r="1884" spans="1:4" x14ac:dyDescent="0.2">
      <c r="A1884" s="14">
        <v>1138</v>
      </c>
      <c r="B1884" s="29">
        <v>3</v>
      </c>
      <c r="C1884" s="14">
        <v>320</v>
      </c>
      <c r="D1884" s="15">
        <v>99.107797500000004</v>
      </c>
    </row>
    <row r="1885" spans="1:4" x14ac:dyDescent="0.2">
      <c r="A1885" s="12">
        <v>1139</v>
      </c>
      <c r="B1885" s="13">
        <v>1</v>
      </c>
      <c r="C1885" s="14">
        <v>400</v>
      </c>
      <c r="D1885" s="15">
        <f>127.34226-5.4</f>
        <v>121.94225999999999</v>
      </c>
    </row>
    <row r="1886" spans="1:4" x14ac:dyDescent="0.2">
      <c r="A1886" s="18">
        <v>1139</v>
      </c>
      <c r="B1886" s="19">
        <v>2</v>
      </c>
      <c r="C1886" s="20">
        <v>400</v>
      </c>
      <c r="D1886" s="15">
        <f>92.43432-9-9-9-15.3</f>
        <v>50.134320000000002</v>
      </c>
    </row>
    <row r="1887" spans="1:4" x14ac:dyDescent="0.2">
      <c r="A1887" s="12">
        <v>1140</v>
      </c>
      <c r="B1887" s="13">
        <v>1</v>
      </c>
      <c r="C1887" s="14">
        <v>400</v>
      </c>
      <c r="D1887" s="15">
        <f>173.19591-10.5</f>
        <v>162.69591</v>
      </c>
    </row>
    <row r="1888" spans="1:4" x14ac:dyDescent="0.2">
      <c r="A1888" s="12">
        <v>1140</v>
      </c>
      <c r="B1888" s="13">
        <v>2</v>
      </c>
      <c r="C1888" s="14">
        <v>400</v>
      </c>
      <c r="D1888" s="15">
        <f>136.80882-10.5</f>
        <v>126.30882</v>
      </c>
    </row>
    <row r="1889" spans="1:4" x14ac:dyDescent="0.2">
      <c r="A1889" s="16">
        <v>1141</v>
      </c>
      <c r="B1889" s="13">
        <v>1</v>
      </c>
      <c r="C1889" s="17">
        <v>400</v>
      </c>
      <c r="D1889" s="15">
        <f>180-10.5-10.5</f>
        <v>159</v>
      </c>
    </row>
    <row r="1890" spans="1:4" x14ac:dyDescent="0.2">
      <c r="A1890" s="16">
        <v>1141</v>
      </c>
      <c r="B1890" s="13">
        <v>2</v>
      </c>
      <c r="C1890" s="17">
        <v>400</v>
      </c>
      <c r="D1890" s="15">
        <f>158.3058-7.15-8.25-8.25</f>
        <v>134.6558</v>
      </c>
    </row>
    <row r="1891" spans="1:4" x14ac:dyDescent="0.2">
      <c r="A1891" s="12">
        <v>1142</v>
      </c>
      <c r="B1891" s="13">
        <v>1</v>
      </c>
      <c r="C1891" s="14">
        <v>400</v>
      </c>
      <c r="D1891" s="15">
        <f>200.26017-24.5</f>
        <v>175.76016999999999</v>
      </c>
    </row>
    <row r="1892" spans="1:4" x14ac:dyDescent="0.2">
      <c r="A1892" s="12">
        <v>1143</v>
      </c>
      <c r="B1892" s="13">
        <v>1</v>
      </c>
      <c r="C1892" s="14">
        <v>250</v>
      </c>
      <c r="D1892" s="15">
        <f>84.7659375-5.6</f>
        <v>79.165937500000013</v>
      </c>
    </row>
    <row r="1893" spans="1:4" x14ac:dyDescent="0.2">
      <c r="A1893" s="12">
        <v>1143</v>
      </c>
      <c r="B1893" s="13">
        <v>2</v>
      </c>
      <c r="C1893" s="14">
        <v>400</v>
      </c>
      <c r="D1893" s="15">
        <v>117.28404000000002</v>
      </c>
    </row>
    <row r="1894" spans="1:4" x14ac:dyDescent="0.2">
      <c r="A1894" s="12">
        <v>1144</v>
      </c>
      <c r="B1894" s="13">
        <v>1</v>
      </c>
      <c r="C1894" s="14">
        <v>400</v>
      </c>
      <c r="D1894" s="15">
        <v>139.3973325</v>
      </c>
    </row>
    <row r="1895" spans="1:4" x14ac:dyDescent="0.2">
      <c r="A1895" s="12">
        <v>1144</v>
      </c>
      <c r="B1895" s="13">
        <v>2</v>
      </c>
      <c r="C1895" s="14">
        <v>400</v>
      </c>
      <c r="D1895" s="15">
        <f>138.87963-2.1</f>
        <v>136.77963</v>
      </c>
    </row>
    <row r="1896" spans="1:4" x14ac:dyDescent="0.2">
      <c r="A1896" s="16">
        <v>1145</v>
      </c>
      <c r="B1896" s="13">
        <v>1</v>
      </c>
      <c r="C1896" s="17">
        <v>400</v>
      </c>
      <c r="D1896" s="15">
        <v>132.44532749999999</v>
      </c>
    </row>
    <row r="1897" spans="1:4" x14ac:dyDescent="0.2">
      <c r="A1897" s="16">
        <v>1145</v>
      </c>
      <c r="B1897" s="13">
        <v>2</v>
      </c>
      <c r="C1897" s="17">
        <v>400</v>
      </c>
      <c r="D1897" s="15">
        <v>158.1825375</v>
      </c>
    </row>
    <row r="1898" spans="1:4" x14ac:dyDescent="0.2">
      <c r="A1898" s="12">
        <v>1146</v>
      </c>
      <c r="B1898" s="13">
        <v>1</v>
      </c>
      <c r="C1898" s="14">
        <v>250</v>
      </c>
      <c r="D1898" s="15">
        <v>0</v>
      </c>
    </row>
    <row r="1899" spans="1:4" x14ac:dyDescent="0.2">
      <c r="A1899" s="12">
        <v>1146</v>
      </c>
      <c r="B1899" s="13">
        <v>2</v>
      </c>
      <c r="C1899" s="14">
        <v>400</v>
      </c>
      <c r="D1899" s="15">
        <f>145-90-8.22-6-6.3-1.2</f>
        <v>33.28</v>
      </c>
    </row>
    <row r="1900" spans="1:4" x14ac:dyDescent="0.2">
      <c r="A1900" s="12">
        <v>1147</v>
      </c>
      <c r="B1900" s="13">
        <v>1</v>
      </c>
      <c r="C1900" s="14">
        <v>400</v>
      </c>
      <c r="D1900" s="15">
        <f>145.38789-3.6-24-4.8-11.4</f>
        <v>101.58789</v>
      </c>
    </row>
    <row r="1901" spans="1:4" x14ac:dyDescent="0.2">
      <c r="A1901" s="12">
        <v>1147</v>
      </c>
      <c r="B1901" s="13">
        <v>2</v>
      </c>
      <c r="C1901" s="14">
        <v>400</v>
      </c>
      <c r="D1901" s="15">
        <v>136.80882000000003</v>
      </c>
    </row>
    <row r="1902" spans="1:4" x14ac:dyDescent="0.2">
      <c r="A1902" s="12">
        <v>1148</v>
      </c>
      <c r="B1902" s="13">
        <v>1</v>
      </c>
      <c r="C1902" s="14">
        <v>630</v>
      </c>
      <c r="D1902" s="15">
        <f>245-10.5-10-7-8.5-7-10.5-4.9-10.5-40.12-1.05-10.5-6.86</f>
        <v>117.56999999999998</v>
      </c>
    </row>
    <row r="1903" spans="1:4" x14ac:dyDescent="0.2">
      <c r="A1903" s="12">
        <v>1148</v>
      </c>
      <c r="B1903" s="13">
        <v>2</v>
      </c>
      <c r="C1903" s="14">
        <v>630</v>
      </c>
      <c r="D1903" s="15">
        <f>284-10.5-40.12-10.5</f>
        <v>222.88</v>
      </c>
    </row>
    <row r="1904" spans="1:4" x14ac:dyDescent="0.2">
      <c r="A1904" s="12">
        <v>1149</v>
      </c>
      <c r="B1904" s="13">
        <v>1</v>
      </c>
      <c r="C1904" s="14">
        <v>400</v>
      </c>
      <c r="D1904" s="15">
        <f>97.907175-7.5</f>
        <v>90.407174999999995</v>
      </c>
    </row>
    <row r="1905" spans="1:4" x14ac:dyDescent="0.2">
      <c r="A1905" s="12">
        <v>1149</v>
      </c>
      <c r="B1905" s="13">
        <v>2</v>
      </c>
      <c r="C1905" s="14">
        <v>400</v>
      </c>
      <c r="D1905" s="15">
        <v>0</v>
      </c>
    </row>
    <row r="1906" spans="1:4" x14ac:dyDescent="0.2">
      <c r="A1906" s="12">
        <v>1150</v>
      </c>
      <c r="B1906" s="13">
        <v>1</v>
      </c>
      <c r="C1906" s="14">
        <v>250</v>
      </c>
      <c r="D1906" s="15">
        <f>52.4-7.8-6</f>
        <v>38.6</v>
      </c>
    </row>
    <row r="1907" spans="1:4" x14ac:dyDescent="0.2">
      <c r="A1907" s="12">
        <v>1151</v>
      </c>
      <c r="B1907" s="13">
        <v>1</v>
      </c>
      <c r="C1907" s="14">
        <v>250</v>
      </c>
      <c r="D1907" s="14" t="s">
        <v>6</v>
      </c>
    </row>
    <row r="1908" spans="1:4" x14ac:dyDescent="0.2">
      <c r="A1908" s="12">
        <v>1151</v>
      </c>
      <c r="B1908" s="13">
        <v>2</v>
      </c>
      <c r="C1908" s="14">
        <v>250</v>
      </c>
      <c r="D1908" s="15">
        <v>92.235645000000005</v>
      </c>
    </row>
    <row r="1909" spans="1:4" x14ac:dyDescent="0.2">
      <c r="A1909" s="12">
        <v>1152</v>
      </c>
      <c r="B1909" s="13">
        <v>1</v>
      </c>
      <c r="C1909" s="14">
        <v>400</v>
      </c>
      <c r="D1909" s="15">
        <f>116.3225925-8.22-12-14.4</f>
        <v>81.702592499999994</v>
      </c>
    </row>
    <row r="1910" spans="1:4" x14ac:dyDescent="0.2">
      <c r="A1910" s="12">
        <v>1152</v>
      </c>
      <c r="B1910" s="13">
        <v>2</v>
      </c>
      <c r="C1910" s="14">
        <v>400</v>
      </c>
      <c r="D1910" s="15">
        <v>115.73093249999999</v>
      </c>
    </row>
    <row r="1911" spans="1:4" x14ac:dyDescent="0.2">
      <c r="A1911" s="12">
        <v>1153</v>
      </c>
      <c r="B1911" s="13">
        <v>1</v>
      </c>
      <c r="C1911" s="14">
        <v>400</v>
      </c>
      <c r="D1911" s="15">
        <f>173.0973-8.25</f>
        <v>164.84729999999999</v>
      </c>
    </row>
    <row r="1912" spans="1:4" x14ac:dyDescent="0.2">
      <c r="A1912" s="12">
        <v>1153</v>
      </c>
      <c r="B1912" s="13">
        <v>2</v>
      </c>
      <c r="C1912" s="14">
        <v>400</v>
      </c>
      <c r="D1912" s="15">
        <v>167.08209000000002</v>
      </c>
    </row>
    <row r="1913" spans="1:4" x14ac:dyDescent="0.2">
      <c r="A1913" s="12">
        <v>1154</v>
      </c>
      <c r="B1913" s="13">
        <v>1</v>
      </c>
      <c r="C1913" s="14">
        <v>630</v>
      </c>
      <c r="D1913" s="15">
        <f>241-16.2-11-5.5-2.75</f>
        <v>205.55</v>
      </c>
    </row>
    <row r="1914" spans="1:4" x14ac:dyDescent="0.2">
      <c r="A1914" s="12">
        <v>1154</v>
      </c>
      <c r="B1914" s="13">
        <v>2</v>
      </c>
      <c r="C1914" s="14">
        <v>630</v>
      </c>
      <c r="D1914" s="15">
        <f>283-16.2-11-5.5</f>
        <v>250.3</v>
      </c>
    </row>
    <row r="1915" spans="1:4" x14ac:dyDescent="0.2">
      <c r="A1915" s="12">
        <v>1155</v>
      </c>
      <c r="B1915" s="13">
        <v>1</v>
      </c>
      <c r="C1915" s="14">
        <v>400</v>
      </c>
      <c r="D1915" s="15">
        <v>112.55076</v>
      </c>
    </row>
    <row r="1916" spans="1:4" x14ac:dyDescent="0.2">
      <c r="A1916" s="12">
        <v>1155</v>
      </c>
      <c r="B1916" s="13">
        <v>2</v>
      </c>
      <c r="C1916" s="14">
        <v>400</v>
      </c>
      <c r="D1916" s="15">
        <v>138.78102000000001</v>
      </c>
    </row>
    <row r="1917" spans="1:4" x14ac:dyDescent="0.2">
      <c r="A1917" s="12">
        <v>1156</v>
      </c>
      <c r="B1917" s="13">
        <v>1</v>
      </c>
      <c r="C1917" s="14">
        <v>400</v>
      </c>
      <c r="D1917" s="15">
        <v>0</v>
      </c>
    </row>
    <row r="1918" spans="1:4" x14ac:dyDescent="0.2">
      <c r="A1918" s="12">
        <v>1156</v>
      </c>
      <c r="B1918" s="13">
        <v>2</v>
      </c>
      <c r="C1918" s="14">
        <v>400</v>
      </c>
      <c r="D1918" s="15">
        <f>173.4177825-30-42</f>
        <v>101.41778249999999</v>
      </c>
    </row>
    <row r="1919" spans="1:4" x14ac:dyDescent="0.2">
      <c r="A1919" s="12">
        <v>1157</v>
      </c>
      <c r="B1919" s="13">
        <v>1</v>
      </c>
      <c r="C1919" s="14">
        <v>400</v>
      </c>
      <c r="D1919" s="15">
        <v>180</v>
      </c>
    </row>
    <row r="1920" spans="1:4" x14ac:dyDescent="0.2">
      <c r="A1920" s="12">
        <v>1157</v>
      </c>
      <c r="B1920" s="13">
        <v>2</v>
      </c>
      <c r="C1920" s="14">
        <v>400</v>
      </c>
      <c r="D1920" s="15">
        <v>180</v>
      </c>
    </row>
    <row r="1921" spans="1:4" x14ac:dyDescent="0.2">
      <c r="A1921" s="12">
        <v>1158</v>
      </c>
      <c r="B1921" s="13">
        <v>1</v>
      </c>
      <c r="C1921" s="14">
        <v>400</v>
      </c>
      <c r="D1921" s="15">
        <v>129.61029000000002</v>
      </c>
    </row>
    <row r="1922" spans="1:4" x14ac:dyDescent="0.2">
      <c r="A1922" s="12">
        <v>1158</v>
      </c>
      <c r="B1922" s="13">
        <v>2</v>
      </c>
      <c r="C1922" s="14">
        <v>400</v>
      </c>
      <c r="D1922" s="15">
        <v>151.89615000000001</v>
      </c>
    </row>
    <row r="1923" spans="1:4" x14ac:dyDescent="0.2">
      <c r="A1923" s="12">
        <v>1159</v>
      </c>
      <c r="B1923" s="13">
        <v>1</v>
      </c>
      <c r="C1923" s="14">
        <v>400</v>
      </c>
      <c r="D1923" s="15">
        <v>159.88356000000002</v>
      </c>
    </row>
    <row r="1924" spans="1:4" x14ac:dyDescent="0.2">
      <c r="A1924" s="12">
        <v>1159</v>
      </c>
      <c r="B1924" s="13">
        <v>2</v>
      </c>
      <c r="C1924" s="14">
        <v>400</v>
      </c>
      <c r="D1924" s="15">
        <v>151.79754</v>
      </c>
    </row>
    <row r="1925" spans="1:4" x14ac:dyDescent="0.2">
      <c r="A1925" s="12">
        <v>1160</v>
      </c>
      <c r="B1925" s="13">
        <v>1</v>
      </c>
      <c r="C1925" s="14">
        <v>250</v>
      </c>
      <c r="D1925" s="15">
        <v>96.599137499999998</v>
      </c>
    </row>
    <row r="1926" spans="1:4" x14ac:dyDescent="0.2">
      <c r="A1926" s="12">
        <v>1160</v>
      </c>
      <c r="B1926" s="13">
        <v>2</v>
      </c>
      <c r="C1926" s="14">
        <v>160</v>
      </c>
      <c r="D1926" s="15">
        <v>60.758459999999999</v>
      </c>
    </row>
    <row r="1927" spans="1:4" x14ac:dyDescent="0.2">
      <c r="A1927" s="12">
        <v>1161</v>
      </c>
      <c r="B1927" s="13">
        <v>1</v>
      </c>
      <c r="C1927" s="14">
        <v>400</v>
      </c>
      <c r="D1927" s="15">
        <f>109.2226725-14.7</f>
        <v>94.522672499999999</v>
      </c>
    </row>
    <row r="1928" spans="1:4" x14ac:dyDescent="0.2">
      <c r="A1928" s="12">
        <v>1161</v>
      </c>
      <c r="B1928" s="13">
        <v>2</v>
      </c>
      <c r="C1928" s="14">
        <v>400</v>
      </c>
      <c r="D1928" s="15">
        <v>144.94414499999999</v>
      </c>
    </row>
    <row r="1929" spans="1:4" x14ac:dyDescent="0.2">
      <c r="A1929" s="12">
        <v>1162</v>
      </c>
      <c r="B1929" s="13">
        <v>1</v>
      </c>
      <c r="C1929" s="14">
        <v>630</v>
      </c>
      <c r="D1929" s="15">
        <f>187.55247-13.44-2.4-45-9-10.5-7.8-18</f>
        <v>81.412469999999999</v>
      </c>
    </row>
    <row r="1930" spans="1:4" x14ac:dyDescent="0.2">
      <c r="A1930" s="12">
        <v>1162</v>
      </c>
      <c r="B1930" s="13">
        <v>2</v>
      </c>
      <c r="C1930" s="14">
        <v>630</v>
      </c>
      <c r="D1930" s="15">
        <f>221.3757-7.2-6-45-20.4-9-9</f>
        <v>124.7757</v>
      </c>
    </row>
    <row r="1931" spans="1:4" x14ac:dyDescent="0.2">
      <c r="A1931" s="12">
        <v>1163</v>
      </c>
      <c r="B1931" s="13">
        <v>1</v>
      </c>
      <c r="C1931" s="14">
        <v>400</v>
      </c>
      <c r="D1931" s="15">
        <v>131.33596500000002</v>
      </c>
    </row>
    <row r="1932" spans="1:4" x14ac:dyDescent="0.2">
      <c r="A1932" s="12">
        <v>1163</v>
      </c>
      <c r="B1932" s="13">
        <v>2</v>
      </c>
      <c r="C1932" s="14">
        <v>400</v>
      </c>
      <c r="D1932" s="15">
        <f>170.385525-9</f>
        <v>161.385525</v>
      </c>
    </row>
    <row r="1933" spans="1:4" x14ac:dyDescent="0.2">
      <c r="A1933" s="12">
        <v>1164</v>
      </c>
      <c r="B1933" s="13">
        <v>1</v>
      </c>
      <c r="C1933" s="14">
        <v>400</v>
      </c>
      <c r="D1933" s="15">
        <v>141.98584499999998</v>
      </c>
    </row>
    <row r="1934" spans="1:4" x14ac:dyDescent="0.2">
      <c r="A1934" s="12">
        <v>1164</v>
      </c>
      <c r="B1934" s="13">
        <v>2</v>
      </c>
      <c r="C1934" s="14">
        <v>250</v>
      </c>
      <c r="D1934" s="15">
        <v>110.65106250000001</v>
      </c>
    </row>
    <row r="1935" spans="1:4" x14ac:dyDescent="0.2">
      <c r="A1935" s="12">
        <v>1165</v>
      </c>
      <c r="B1935" s="13">
        <v>1</v>
      </c>
      <c r="C1935" s="14">
        <v>400</v>
      </c>
      <c r="D1935" s="15">
        <v>91.152390000000011</v>
      </c>
    </row>
    <row r="1936" spans="1:4" x14ac:dyDescent="0.2">
      <c r="A1936" s="12">
        <v>1165</v>
      </c>
      <c r="B1936" s="13">
        <v>2</v>
      </c>
      <c r="C1936" s="14">
        <v>400</v>
      </c>
      <c r="D1936" s="15">
        <f>174.67506-5.4</f>
        <v>169.27506</v>
      </c>
    </row>
    <row r="1937" spans="1:4" x14ac:dyDescent="0.2">
      <c r="A1937" s="12">
        <v>1166</v>
      </c>
      <c r="B1937" s="13">
        <v>1</v>
      </c>
      <c r="C1937" s="14">
        <v>250</v>
      </c>
      <c r="D1937" s="15">
        <v>112.5</v>
      </c>
    </row>
    <row r="1938" spans="1:4" x14ac:dyDescent="0.2">
      <c r="A1938" s="12">
        <v>1166</v>
      </c>
      <c r="B1938" s="13">
        <v>2</v>
      </c>
      <c r="C1938" s="14">
        <v>250</v>
      </c>
      <c r="D1938" s="15">
        <v>101.85012</v>
      </c>
    </row>
    <row r="1939" spans="1:4" x14ac:dyDescent="0.2">
      <c r="A1939" s="12">
        <v>1167</v>
      </c>
      <c r="B1939" s="13">
        <v>1</v>
      </c>
      <c r="C1939" s="14">
        <v>400</v>
      </c>
      <c r="D1939" s="15">
        <v>149.52951000000002</v>
      </c>
    </row>
    <row r="1940" spans="1:4" x14ac:dyDescent="0.2">
      <c r="A1940" s="12">
        <v>1167</v>
      </c>
      <c r="B1940" s="13">
        <v>2</v>
      </c>
      <c r="C1940" s="14">
        <v>400</v>
      </c>
      <c r="D1940" s="15">
        <v>144.352485</v>
      </c>
    </row>
    <row r="1941" spans="1:4" x14ac:dyDescent="0.2">
      <c r="A1941" s="12">
        <v>1168</v>
      </c>
      <c r="B1941" s="13">
        <v>1</v>
      </c>
      <c r="C1941" s="14">
        <v>400</v>
      </c>
      <c r="D1941" s="15">
        <f>136.8827775-3.5-7</f>
        <v>126.3827775</v>
      </c>
    </row>
    <row r="1942" spans="1:4" x14ac:dyDescent="0.2">
      <c r="A1942" s="12">
        <v>1168</v>
      </c>
      <c r="B1942" s="13">
        <v>2</v>
      </c>
      <c r="C1942" s="14">
        <v>400</v>
      </c>
      <c r="D1942" s="15">
        <f>153.8930025-21-10.5-10.5-10.5</f>
        <v>101.39300249999999</v>
      </c>
    </row>
    <row r="1943" spans="1:4" x14ac:dyDescent="0.2">
      <c r="A1943" s="16">
        <v>1169</v>
      </c>
      <c r="B1943" s="13">
        <v>1</v>
      </c>
      <c r="C1943" s="17">
        <v>400</v>
      </c>
      <c r="D1943" s="15">
        <v>153.67113000000001</v>
      </c>
    </row>
    <row r="1944" spans="1:4" x14ac:dyDescent="0.2">
      <c r="A1944" s="16">
        <v>1169</v>
      </c>
      <c r="B1944" s="13">
        <v>2</v>
      </c>
      <c r="C1944" s="17">
        <v>160</v>
      </c>
      <c r="D1944" s="15">
        <v>33.542099999999998</v>
      </c>
    </row>
    <row r="1945" spans="1:4" x14ac:dyDescent="0.2">
      <c r="A1945" s="16">
        <v>1170</v>
      </c>
      <c r="B1945" s="13">
        <v>1</v>
      </c>
      <c r="C1945" s="17">
        <v>400</v>
      </c>
      <c r="D1945" s="15">
        <f>136-9-9-9</f>
        <v>109</v>
      </c>
    </row>
    <row r="1946" spans="1:4" x14ac:dyDescent="0.2">
      <c r="A1946" s="16">
        <v>1170</v>
      </c>
      <c r="B1946" s="13">
        <v>2</v>
      </c>
      <c r="C1946" s="17">
        <v>400</v>
      </c>
      <c r="D1946" s="15">
        <f>63.04854-6.6-6-9-9-9-6.3-6.3</f>
        <v>10.84854</v>
      </c>
    </row>
    <row r="1947" spans="1:4" x14ac:dyDescent="0.2">
      <c r="A1947" s="12">
        <v>1171</v>
      </c>
      <c r="B1947" s="13">
        <v>1</v>
      </c>
      <c r="C1947" s="14">
        <v>250</v>
      </c>
      <c r="D1947" s="15">
        <f>124.46001-9-30.25</f>
        <v>85.210009999999997</v>
      </c>
    </row>
    <row r="1948" spans="1:4" x14ac:dyDescent="0.2">
      <c r="A1948" s="12">
        <v>1172</v>
      </c>
      <c r="B1948" s="13">
        <v>1</v>
      </c>
      <c r="C1948" s="14">
        <v>180</v>
      </c>
      <c r="D1948" s="15">
        <v>52.230532500000002</v>
      </c>
    </row>
    <row r="1949" spans="1:4" x14ac:dyDescent="0.2">
      <c r="A1949" s="12">
        <v>1172</v>
      </c>
      <c r="B1949" s="13">
        <v>2</v>
      </c>
      <c r="C1949" s="14">
        <v>160</v>
      </c>
      <c r="D1949" s="15">
        <v>64.702860000000001</v>
      </c>
    </row>
    <row r="1950" spans="1:4" x14ac:dyDescent="0.2">
      <c r="A1950" s="12">
        <v>1173</v>
      </c>
      <c r="B1950" s="13">
        <v>1</v>
      </c>
      <c r="C1950" s="14">
        <v>400</v>
      </c>
      <c r="D1950" s="15">
        <f>135.4036275-21-21-31.5</f>
        <v>61.903627499999999</v>
      </c>
    </row>
    <row r="1951" spans="1:4" x14ac:dyDescent="0.2">
      <c r="A1951" s="12">
        <v>1173</v>
      </c>
      <c r="B1951" s="13">
        <v>2</v>
      </c>
      <c r="C1951" s="14">
        <v>250</v>
      </c>
      <c r="D1951" s="15">
        <v>64.945327500000005</v>
      </c>
    </row>
    <row r="1952" spans="1:4" x14ac:dyDescent="0.2">
      <c r="A1952" s="12">
        <v>1174</v>
      </c>
      <c r="B1952" s="13">
        <v>1</v>
      </c>
      <c r="C1952" s="14">
        <v>400</v>
      </c>
      <c r="D1952" s="15">
        <v>189.24871999999999</v>
      </c>
    </row>
    <row r="1953" spans="1:4" x14ac:dyDescent="0.2">
      <c r="A1953" s="12">
        <v>1175</v>
      </c>
      <c r="B1953" s="13">
        <v>1</v>
      </c>
      <c r="C1953" s="14">
        <v>315</v>
      </c>
      <c r="D1953" s="15">
        <f>177.56124-6.6-18</f>
        <v>152.96124</v>
      </c>
    </row>
    <row r="1954" spans="1:4" x14ac:dyDescent="0.2">
      <c r="A1954" s="12">
        <v>1176</v>
      </c>
      <c r="B1954" s="13">
        <v>1</v>
      </c>
      <c r="C1954" s="14">
        <v>400</v>
      </c>
      <c r="D1954" s="15">
        <f>178.81668-35</f>
        <v>143.81667999999999</v>
      </c>
    </row>
    <row r="1955" spans="1:4" x14ac:dyDescent="0.2">
      <c r="A1955" s="12">
        <v>1176</v>
      </c>
      <c r="B1955" s="13">
        <v>2</v>
      </c>
      <c r="C1955" s="14">
        <v>400</v>
      </c>
      <c r="D1955" s="15">
        <f>174.1573575-35</f>
        <v>139.15735749999999</v>
      </c>
    </row>
    <row r="1956" spans="1:4" x14ac:dyDescent="0.2">
      <c r="A1956" s="12">
        <v>1177</v>
      </c>
      <c r="B1956" s="13">
        <v>1</v>
      </c>
      <c r="C1956" s="14">
        <v>400</v>
      </c>
      <c r="D1956" s="15">
        <f>143.760825-112-8.25</f>
        <v>23.510825000000011</v>
      </c>
    </row>
    <row r="1957" spans="1:4" x14ac:dyDescent="0.2">
      <c r="A1957" s="12">
        <v>1177</v>
      </c>
      <c r="B1957" s="13">
        <v>2</v>
      </c>
      <c r="C1957" s="14">
        <v>400</v>
      </c>
      <c r="D1957" s="15">
        <f>179.1864675-112-3.5</f>
        <v>63.686467499999992</v>
      </c>
    </row>
    <row r="1958" spans="1:4" x14ac:dyDescent="0.2">
      <c r="A1958" s="12">
        <v>1179</v>
      </c>
      <c r="B1958" s="13">
        <v>1</v>
      </c>
      <c r="C1958" s="14">
        <v>400</v>
      </c>
      <c r="D1958" s="15">
        <v>146.05350750000002</v>
      </c>
    </row>
    <row r="1959" spans="1:4" x14ac:dyDescent="0.2">
      <c r="A1959" s="12">
        <v>1179</v>
      </c>
      <c r="B1959" s="13">
        <v>2</v>
      </c>
      <c r="C1959" s="14">
        <v>400</v>
      </c>
      <c r="D1959" s="15">
        <v>168.68450250000001</v>
      </c>
    </row>
    <row r="1960" spans="1:4" x14ac:dyDescent="0.2">
      <c r="A1960" s="16">
        <v>1180</v>
      </c>
      <c r="B1960" s="13">
        <v>1</v>
      </c>
      <c r="C1960" s="17">
        <v>400</v>
      </c>
      <c r="D1960" s="15">
        <f>170.63205-9</f>
        <v>161.63204999999999</v>
      </c>
    </row>
    <row r="1961" spans="1:4" x14ac:dyDescent="0.2">
      <c r="A1961" s="16">
        <v>1180</v>
      </c>
      <c r="B1961" s="13">
        <v>2</v>
      </c>
      <c r="C1961" s="17">
        <v>400</v>
      </c>
      <c r="D1961" s="15">
        <f>116.98821-9</f>
        <v>107.98821</v>
      </c>
    </row>
    <row r="1962" spans="1:4" x14ac:dyDescent="0.2">
      <c r="A1962" s="12">
        <v>1181</v>
      </c>
      <c r="B1962" s="13">
        <v>1</v>
      </c>
      <c r="C1962" s="14">
        <v>400</v>
      </c>
      <c r="D1962" s="15">
        <f>113.586165-16.5</f>
        <v>97.086164999999994</v>
      </c>
    </row>
    <row r="1963" spans="1:4" x14ac:dyDescent="0.2">
      <c r="A1963" s="12">
        <v>1181</v>
      </c>
      <c r="B1963" s="13">
        <v>2</v>
      </c>
      <c r="C1963" s="14">
        <v>400</v>
      </c>
      <c r="D1963" s="15">
        <f>134.73801-4.4-0.5-11.39</f>
        <v>118.44801</v>
      </c>
    </row>
    <row r="1964" spans="1:4" x14ac:dyDescent="0.2">
      <c r="A1964" s="16">
        <v>1182</v>
      </c>
      <c r="B1964" s="13">
        <v>1</v>
      </c>
      <c r="C1964" s="17">
        <v>250</v>
      </c>
      <c r="D1964" s="15">
        <f>87.02108-8.22-9-9-6.3-6.3-6</f>
        <v>42.201080000000005</v>
      </c>
    </row>
    <row r="1965" spans="1:4" x14ac:dyDescent="0.2">
      <c r="A1965" s="16">
        <v>1183</v>
      </c>
      <c r="B1965" s="13">
        <v>1</v>
      </c>
      <c r="C1965" s="17">
        <v>250</v>
      </c>
      <c r="D1965" s="15">
        <v>0</v>
      </c>
    </row>
    <row r="1966" spans="1:4" x14ac:dyDescent="0.2">
      <c r="A1966" s="12">
        <v>1184</v>
      </c>
      <c r="B1966" s="13">
        <v>1</v>
      </c>
      <c r="C1966" s="14">
        <v>250</v>
      </c>
      <c r="D1966" s="15">
        <f>52.44651-10.45</f>
        <v>41.996510000000001</v>
      </c>
    </row>
    <row r="1967" spans="1:4" x14ac:dyDescent="0.2">
      <c r="A1967" s="12">
        <v>1184</v>
      </c>
      <c r="B1967" s="13">
        <v>2</v>
      </c>
      <c r="C1967" s="14">
        <v>250</v>
      </c>
      <c r="D1967" s="15">
        <v>0</v>
      </c>
    </row>
    <row r="1968" spans="1:4" x14ac:dyDescent="0.2">
      <c r="A1968" s="16">
        <v>1185</v>
      </c>
      <c r="B1968" s="13">
        <v>1</v>
      </c>
      <c r="C1968" s="17">
        <v>400</v>
      </c>
      <c r="D1968" s="15">
        <f>129.265155-60</f>
        <v>69.265154999999993</v>
      </c>
    </row>
    <row r="1969" spans="1:4" x14ac:dyDescent="0.2">
      <c r="A1969" s="16">
        <v>1185</v>
      </c>
      <c r="B1969" s="13">
        <v>2</v>
      </c>
      <c r="C1969" s="17">
        <v>400</v>
      </c>
      <c r="D1969" s="15">
        <f>137.69631-60</f>
        <v>77.696310000000011</v>
      </c>
    </row>
    <row r="1970" spans="1:4" x14ac:dyDescent="0.2">
      <c r="A1970" s="12">
        <v>1186</v>
      </c>
      <c r="B1970" s="13">
        <v>1</v>
      </c>
      <c r="C1970" s="14">
        <v>400</v>
      </c>
      <c r="D1970" s="15">
        <v>150.86074500000001</v>
      </c>
    </row>
    <row r="1971" spans="1:4" x14ac:dyDescent="0.2">
      <c r="A1971" s="12">
        <v>1186</v>
      </c>
      <c r="B1971" s="13">
        <v>2</v>
      </c>
      <c r="C1971" s="14">
        <v>400</v>
      </c>
      <c r="D1971" s="15">
        <v>130.8182625</v>
      </c>
    </row>
    <row r="1972" spans="1:4" x14ac:dyDescent="0.2">
      <c r="A1972" s="12">
        <v>1187</v>
      </c>
      <c r="B1972" s="13">
        <v>1</v>
      </c>
      <c r="C1972" s="14">
        <v>400</v>
      </c>
      <c r="D1972" s="15">
        <f>180-3</f>
        <v>177</v>
      </c>
    </row>
    <row r="1973" spans="1:4" x14ac:dyDescent="0.2">
      <c r="A1973" s="12">
        <v>1187</v>
      </c>
      <c r="B1973" s="13">
        <v>2</v>
      </c>
      <c r="C1973" s="14">
        <v>400</v>
      </c>
      <c r="D1973" s="15">
        <v>160.17939000000001</v>
      </c>
    </row>
    <row r="1974" spans="1:4" x14ac:dyDescent="0.2">
      <c r="A1974" s="12">
        <v>1188</v>
      </c>
      <c r="B1974" s="13">
        <v>1</v>
      </c>
      <c r="C1974" s="14">
        <v>400</v>
      </c>
      <c r="D1974" s="15">
        <f>92-9-3.6-9-2.4-18-9-36</f>
        <v>5</v>
      </c>
    </row>
    <row r="1975" spans="1:4" x14ac:dyDescent="0.2">
      <c r="A1975" s="12">
        <v>1188</v>
      </c>
      <c r="B1975" s="13">
        <v>2</v>
      </c>
      <c r="C1975" s="14">
        <v>400</v>
      </c>
      <c r="D1975" s="15">
        <f>123-9</f>
        <v>114</v>
      </c>
    </row>
    <row r="1976" spans="1:4" x14ac:dyDescent="0.2">
      <c r="A1976" s="12">
        <v>1189</v>
      </c>
      <c r="B1976" s="13">
        <v>1</v>
      </c>
      <c r="C1976" s="14">
        <v>400</v>
      </c>
      <c r="D1976" s="15">
        <v>129.0432825</v>
      </c>
    </row>
    <row r="1977" spans="1:4" x14ac:dyDescent="0.2">
      <c r="A1977" s="12">
        <v>1189</v>
      </c>
      <c r="B1977" s="13">
        <v>2</v>
      </c>
      <c r="C1977" s="14">
        <v>400</v>
      </c>
      <c r="D1977" s="15">
        <v>179.55625499999999</v>
      </c>
    </row>
    <row r="1978" spans="1:4" x14ac:dyDescent="0.2">
      <c r="A1978" s="12">
        <v>1190</v>
      </c>
      <c r="B1978" s="13">
        <v>1</v>
      </c>
      <c r="C1978" s="14">
        <v>400</v>
      </c>
      <c r="D1978" s="15">
        <f>137.9181825-20.9-19.25</f>
        <v>97.768182499999995</v>
      </c>
    </row>
    <row r="1979" spans="1:4" x14ac:dyDescent="0.2">
      <c r="A1979" s="12">
        <v>1190</v>
      </c>
      <c r="B1979" s="13">
        <v>2</v>
      </c>
      <c r="C1979" s="14">
        <v>400</v>
      </c>
      <c r="D1979" s="15">
        <f>153.07947-5.5-33-48.4</f>
        <v>66.179469999999981</v>
      </c>
    </row>
    <row r="1980" spans="1:4" x14ac:dyDescent="0.2">
      <c r="A1980" s="12">
        <v>1191</v>
      </c>
      <c r="B1980" s="13">
        <v>1</v>
      </c>
      <c r="C1980" s="14">
        <v>400</v>
      </c>
      <c r="D1980" s="15">
        <v>141.98584499999998</v>
      </c>
    </row>
    <row r="1981" spans="1:4" x14ac:dyDescent="0.2">
      <c r="A1981" s="12">
        <v>1191</v>
      </c>
      <c r="B1981" s="13">
        <v>2</v>
      </c>
      <c r="C1981" s="14">
        <v>400</v>
      </c>
      <c r="D1981" s="15">
        <f>156.777345-9</f>
        <v>147.777345</v>
      </c>
    </row>
    <row r="1982" spans="1:4" x14ac:dyDescent="0.2">
      <c r="A1982" s="12">
        <v>1192</v>
      </c>
      <c r="B1982" s="13">
        <v>1</v>
      </c>
      <c r="C1982" s="14">
        <v>400</v>
      </c>
      <c r="D1982" s="15">
        <f>144.5743575-9-44.1</f>
        <v>91.474357499999996</v>
      </c>
    </row>
    <row r="1983" spans="1:4" x14ac:dyDescent="0.2">
      <c r="A1983" s="12">
        <v>1192</v>
      </c>
      <c r="B1983" s="13">
        <v>2</v>
      </c>
      <c r="C1983" s="14">
        <v>400</v>
      </c>
      <c r="D1983" s="15">
        <f>131.77971-10.5</f>
        <v>121.27970999999999</v>
      </c>
    </row>
    <row r="1984" spans="1:4" x14ac:dyDescent="0.2">
      <c r="A1984" s="12">
        <v>1193</v>
      </c>
      <c r="B1984" s="13">
        <v>1</v>
      </c>
      <c r="C1984" s="14">
        <v>400</v>
      </c>
      <c r="D1984" s="15">
        <v>159.95751749999999</v>
      </c>
    </row>
    <row r="1985" spans="1:4" x14ac:dyDescent="0.2">
      <c r="A1985" s="12">
        <v>1193</v>
      </c>
      <c r="B1985" s="13">
        <v>2</v>
      </c>
      <c r="C1985" s="14">
        <v>400</v>
      </c>
      <c r="D1985" s="15">
        <v>131.55783750000001</v>
      </c>
    </row>
    <row r="1986" spans="1:4" x14ac:dyDescent="0.2">
      <c r="A1986" s="16">
        <v>1194</v>
      </c>
      <c r="B1986" s="13">
        <v>1</v>
      </c>
      <c r="C1986" s="17">
        <v>250</v>
      </c>
      <c r="D1986" s="15">
        <v>108.65421000000001</v>
      </c>
    </row>
    <row r="1987" spans="1:4" x14ac:dyDescent="0.2">
      <c r="A1987" s="16">
        <v>1194</v>
      </c>
      <c r="B1987" s="13">
        <v>2</v>
      </c>
      <c r="C1987" s="17">
        <v>250</v>
      </c>
      <c r="D1987" s="15">
        <f>82.32534-11.7</f>
        <v>70.625339999999994</v>
      </c>
    </row>
    <row r="1988" spans="1:4" x14ac:dyDescent="0.2">
      <c r="A1988" s="12">
        <v>1195</v>
      </c>
      <c r="B1988" s="13">
        <v>1</v>
      </c>
      <c r="C1988" s="14">
        <v>400</v>
      </c>
      <c r="D1988" s="15">
        <f>99.386325-8.22-8.22-8.22-9-8.22-9-6-9</f>
        <v>33.506325000000004</v>
      </c>
    </row>
    <row r="1989" spans="1:4" x14ac:dyDescent="0.2">
      <c r="A1989" s="12">
        <v>1195</v>
      </c>
      <c r="B1989" s="13">
        <v>2</v>
      </c>
      <c r="C1989" s="14">
        <v>400</v>
      </c>
      <c r="D1989" s="15">
        <f>126.9724725-9-6.3-18.9</f>
        <v>92.772472499999992</v>
      </c>
    </row>
    <row r="1990" spans="1:4" x14ac:dyDescent="0.2">
      <c r="A1990" s="12">
        <v>1196</v>
      </c>
      <c r="B1990" s="13">
        <v>1</v>
      </c>
      <c r="C1990" s="14">
        <v>400</v>
      </c>
      <c r="D1990" s="15">
        <f>153.86835-7-28</f>
        <v>118.86834999999999</v>
      </c>
    </row>
    <row r="1991" spans="1:4" x14ac:dyDescent="0.2">
      <c r="A1991" s="12">
        <v>1196</v>
      </c>
      <c r="B1991" s="13">
        <v>2</v>
      </c>
      <c r="C1991" s="14">
        <v>400</v>
      </c>
      <c r="D1991" s="15">
        <f>165.1345425-28</f>
        <v>137.13454250000001</v>
      </c>
    </row>
    <row r="1992" spans="1:4" x14ac:dyDescent="0.2">
      <c r="A1992" s="16">
        <v>1197</v>
      </c>
      <c r="B1992" s="13">
        <v>1</v>
      </c>
      <c r="C1992" s="17">
        <v>400</v>
      </c>
      <c r="D1992" s="15">
        <v>133.40677500000001</v>
      </c>
    </row>
    <row r="1993" spans="1:4" x14ac:dyDescent="0.2">
      <c r="A1993" s="16">
        <v>1197</v>
      </c>
      <c r="B1993" s="13">
        <v>2</v>
      </c>
      <c r="C1993" s="17">
        <v>400</v>
      </c>
      <c r="D1993" s="15">
        <f>122.8308525-68.6</f>
        <v>54.230852500000012</v>
      </c>
    </row>
    <row r="1994" spans="1:4" x14ac:dyDescent="0.2">
      <c r="A1994" s="16">
        <v>1198</v>
      </c>
      <c r="B1994" s="13">
        <v>1</v>
      </c>
      <c r="C1994" s="17">
        <v>250</v>
      </c>
      <c r="D1994" s="15">
        <v>86.319045000000003</v>
      </c>
    </row>
    <row r="1995" spans="1:4" x14ac:dyDescent="0.2">
      <c r="A1995" s="16">
        <v>1198</v>
      </c>
      <c r="B1995" s="13">
        <v>2</v>
      </c>
      <c r="C1995" s="17">
        <v>250</v>
      </c>
      <c r="D1995" s="15">
        <v>75.373335000000012</v>
      </c>
    </row>
    <row r="1996" spans="1:4" x14ac:dyDescent="0.2">
      <c r="A1996" s="16">
        <v>1199</v>
      </c>
      <c r="B1996" s="13">
        <v>1</v>
      </c>
      <c r="C1996" s="17">
        <v>400</v>
      </c>
      <c r="D1996" s="15">
        <f>127.5641325-8.25-5.5</f>
        <v>113.8141325</v>
      </c>
    </row>
    <row r="1997" spans="1:4" x14ac:dyDescent="0.2">
      <c r="A1997" s="16">
        <v>1199</v>
      </c>
      <c r="B1997" s="13">
        <v>2</v>
      </c>
      <c r="C1997" s="17">
        <v>400</v>
      </c>
      <c r="D1997" s="15">
        <f>132.0015825</f>
        <v>132.00158250000001</v>
      </c>
    </row>
    <row r="1998" spans="1:4" x14ac:dyDescent="0.2">
      <c r="A1998" s="12">
        <v>1200</v>
      </c>
      <c r="B1998" s="13">
        <v>1</v>
      </c>
      <c r="C1998" s="14">
        <v>400</v>
      </c>
      <c r="D1998" s="15">
        <f>129.3391125-111</f>
        <v>18.339112499999999</v>
      </c>
    </row>
    <row r="1999" spans="1:4" x14ac:dyDescent="0.2">
      <c r="A1999" s="12">
        <v>1200</v>
      </c>
      <c r="B1999" s="13">
        <v>2</v>
      </c>
      <c r="C1999" s="14">
        <v>400</v>
      </c>
      <c r="D1999" s="15">
        <f>173.4177825-111</f>
        <v>62.417782499999987</v>
      </c>
    </row>
    <row r="2000" spans="1:4" x14ac:dyDescent="0.2">
      <c r="A2000" s="12">
        <v>1201</v>
      </c>
      <c r="B2000" s="13">
        <v>1</v>
      </c>
      <c r="C2000" s="14">
        <v>400</v>
      </c>
      <c r="D2000" s="15">
        <v>124.236045</v>
      </c>
    </row>
    <row r="2001" spans="1:4" x14ac:dyDescent="0.2">
      <c r="A2001" s="12">
        <v>1201</v>
      </c>
      <c r="B2001" s="13">
        <v>2</v>
      </c>
      <c r="C2001" s="14">
        <v>400</v>
      </c>
      <c r="D2001" s="15">
        <v>143.90873999999999</v>
      </c>
    </row>
    <row r="2002" spans="1:4" x14ac:dyDescent="0.2">
      <c r="A2002" s="16">
        <v>1202</v>
      </c>
      <c r="B2002" s="13">
        <v>1</v>
      </c>
      <c r="C2002" s="17">
        <v>400</v>
      </c>
      <c r="D2002" s="15">
        <f>134-9-60-4.5</f>
        <v>60.5</v>
      </c>
    </row>
    <row r="2003" spans="1:4" x14ac:dyDescent="0.2">
      <c r="A2003" s="16">
        <v>1202</v>
      </c>
      <c r="B2003" s="13">
        <v>2</v>
      </c>
      <c r="C2003" s="17">
        <v>400</v>
      </c>
      <c r="D2003" s="15">
        <f>156.1117275-60-24.06</f>
        <v>72.051727499999998</v>
      </c>
    </row>
    <row r="2004" spans="1:4" x14ac:dyDescent="0.2">
      <c r="A2004" s="12">
        <v>1203</v>
      </c>
      <c r="B2004" s="13">
        <v>1</v>
      </c>
      <c r="C2004" s="14">
        <v>400</v>
      </c>
      <c r="D2004" s="15">
        <f>424-9-5.4-75.3-20.9-15</f>
        <v>298.40000000000003</v>
      </c>
    </row>
    <row r="2005" spans="1:4" x14ac:dyDescent="0.2">
      <c r="A2005" s="12">
        <v>1203</v>
      </c>
      <c r="B2005" s="13">
        <v>2</v>
      </c>
      <c r="C2005" s="14">
        <v>400</v>
      </c>
      <c r="D2005" s="15">
        <f>427-75.3</f>
        <v>351.7</v>
      </c>
    </row>
    <row r="2006" spans="1:4" x14ac:dyDescent="0.2">
      <c r="A2006" s="12">
        <v>1204</v>
      </c>
      <c r="B2006" s="13">
        <v>1</v>
      </c>
      <c r="C2006" s="14">
        <v>250</v>
      </c>
      <c r="D2006" s="15">
        <f>100.223055-9</f>
        <v>91.223055000000002</v>
      </c>
    </row>
    <row r="2007" spans="1:4" x14ac:dyDescent="0.2">
      <c r="A2007" s="12">
        <v>1204</v>
      </c>
      <c r="B2007" s="13">
        <v>2</v>
      </c>
      <c r="C2007" s="14">
        <v>250</v>
      </c>
      <c r="D2007" s="15">
        <f>62.4307725-21-6</f>
        <v>35.430772500000003</v>
      </c>
    </row>
    <row r="2008" spans="1:4" x14ac:dyDescent="0.2">
      <c r="A2008" s="12">
        <v>1205</v>
      </c>
      <c r="B2008" s="13">
        <v>1</v>
      </c>
      <c r="C2008" s="14">
        <v>250</v>
      </c>
      <c r="D2008" s="15">
        <v>0</v>
      </c>
    </row>
    <row r="2009" spans="1:4" x14ac:dyDescent="0.2">
      <c r="A2009" s="12">
        <v>1205</v>
      </c>
      <c r="B2009" s="13">
        <v>2</v>
      </c>
      <c r="C2009" s="14">
        <v>250</v>
      </c>
      <c r="D2009" s="15">
        <f>99.8532675-10.5-10.5-10.5-7-7-10.5-10.5-7</f>
        <v>26.353267500000001</v>
      </c>
    </row>
    <row r="2010" spans="1:4" x14ac:dyDescent="0.2">
      <c r="A2010" s="16">
        <v>1206</v>
      </c>
      <c r="B2010" s="13">
        <v>1</v>
      </c>
      <c r="C2010" s="17">
        <v>250</v>
      </c>
      <c r="D2010" s="15">
        <f>67.9036275-2.75-8.25</f>
        <v>56.903627499999999</v>
      </c>
    </row>
    <row r="2011" spans="1:4" x14ac:dyDescent="0.2">
      <c r="A2011" s="16">
        <v>1206</v>
      </c>
      <c r="B2011" s="13">
        <v>2</v>
      </c>
      <c r="C2011" s="17">
        <v>250</v>
      </c>
      <c r="D2011" s="15">
        <f>109.24587-8.25-8.25</f>
        <v>92.745869999999996</v>
      </c>
    </row>
    <row r="2012" spans="1:4" x14ac:dyDescent="0.2">
      <c r="A2012" s="12">
        <v>1207</v>
      </c>
      <c r="B2012" s="13">
        <v>1</v>
      </c>
      <c r="C2012" s="14">
        <v>400</v>
      </c>
      <c r="D2012" s="15">
        <v>120.981915</v>
      </c>
    </row>
    <row r="2013" spans="1:4" x14ac:dyDescent="0.2">
      <c r="A2013" s="12">
        <v>1207</v>
      </c>
      <c r="B2013" s="13">
        <v>2</v>
      </c>
      <c r="C2013" s="14">
        <v>400</v>
      </c>
      <c r="D2013" s="15">
        <v>174.08339999999998</v>
      </c>
    </row>
    <row r="2014" spans="1:4" x14ac:dyDescent="0.2">
      <c r="A2014" s="12">
        <v>1208</v>
      </c>
      <c r="B2014" s="13">
        <v>1</v>
      </c>
      <c r="C2014" s="14">
        <v>400</v>
      </c>
      <c r="D2014" s="15">
        <f>151.0826175-4.02</f>
        <v>147.06261749999999</v>
      </c>
    </row>
    <row r="2015" spans="1:4" x14ac:dyDescent="0.2">
      <c r="A2015" s="12">
        <v>1208</v>
      </c>
      <c r="B2015" s="13">
        <v>2</v>
      </c>
      <c r="C2015" s="14">
        <v>400</v>
      </c>
      <c r="D2015" s="15">
        <v>148.49410499999999</v>
      </c>
    </row>
    <row r="2016" spans="1:4" x14ac:dyDescent="0.2">
      <c r="A2016" s="12">
        <v>1209</v>
      </c>
      <c r="B2016" s="13">
        <v>1</v>
      </c>
      <c r="C2016" s="14">
        <v>400</v>
      </c>
      <c r="D2016" s="15">
        <f>157.22109-13</f>
        <v>144.22109</v>
      </c>
    </row>
    <row r="2017" spans="1:4" x14ac:dyDescent="0.2">
      <c r="A2017" s="12">
        <v>1209</v>
      </c>
      <c r="B2017" s="13">
        <v>2</v>
      </c>
      <c r="C2017" s="14">
        <v>400</v>
      </c>
      <c r="D2017" s="15">
        <f>115.656975-13</f>
        <v>102.656975</v>
      </c>
    </row>
    <row r="2018" spans="1:4" x14ac:dyDescent="0.2">
      <c r="A2018" s="16">
        <v>1210</v>
      </c>
      <c r="B2018" s="13">
        <v>1</v>
      </c>
      <c r="C2018" s="17">
        <v>400</v>
      </c>
      <c r="D2018" s="15">
        <f>144.7222725-50</f>
        <v>94.722272500000003</v>
      </c>
    </row>
    <row r="2019" spans="1:4" x14ac:dyDescent="0.2">
      <c r="A2019" s="16">
        <v>1210</v>
      </c>
      <c r="B2019" s="13">
        <v>2</v>
      </c>
      <c r="C2019" s="17">
        <v>400</v>
      </c>
      <c r="D2019" s="15">
        <f>151.6742775-14-0.21-10.5-10.5-1.75-46.48</f>
        <v>68.23427749999999</v>
      </c>
    </row>
    <row r="2020" spans="1:4" x14ac:dyDescent="0.2">
      <c r="A2020" s="16">
        <v>1211</v>
      </c>
      <c r="B2020" s="13">
        <v>1</v>
      </c>
      <c r="C2020" s="17">
        <v>630</v>
      </c>
      <c r="D2020" s="15">
        <f>261.3867075-17.5</f>
        <v>243.8867075</v>
      </c>
    </row>
    <row r="2021" spans="1:4" x14ac:dyDescent="0.2">
      <c r="A2021" s="16">
        <v>1211</v>
      </c>
      <c r="B2021" s="13">
        <v>2</v>
      </c>
      <c r="C2021" s="17">
        <v>630</v>
      </c>
      <c r="D2021" s="15">
        <v>249.38093999999998</v>
      </c>
    </row>
    <row r="2022" spans="1:4" x14ac:dyDescent="0.2">
      <c r="A2022" s="16">
        <v>1212</v>
      </c>
      <c r="B2022" s="13">
        <v>1</v>
      </c>
      <c r="C2022" s="17">
        <v>400</v>
      </c>
      <c r="D2022" s="15">
        <v>153.74508750000001</v>
      </c>
    </row>
    <row r="2023" spans="1:4" x14ac:dyDescent="0.2">
      <c r="A2023" s="16">
        <v>1212</v>
      </c>
      <c r="B2023" s="13">
        <v>2</v>
      </c>
      <c r="C2023" s="17">
        <v>400</v>
      </c>
      <c r="D2023" s="15">
        <v>127.26830249999999</v>
      </c>
    </row>
    <row r="2024" spans="1:4" x14ac:dyDescent="0.2">
      <c r="A2024" s="16">
        <v>1213</v>
      </c>
      <c r="B2024" s="13">
        <v>1</v>
      </c>
      <c r="C2024" s="17">
        <v>400</v>
      </c>
      <c r="D2024" s="15">
        <f>135.2557125-0.14-10.5</f>
        <v>124.6157125</v>
      </c>
    </row>
    <row r="2025" spans="1:4" x14ac:dyDescent="0.2">
      <c r="A2025" s="16">
        <v>1213</v>
      </c>
      <c r="B2025" s="13">
        <v>2</v>
      </c>
      <c r="C2025" s="17">
        <v>400</v>
      </c>
      <c r="D2025" s="15">
        <f>133.85052-10.5-0.14-7</f>
        <v>116.21051999999999</v>
      </c>
    </row>
    <row r="2026" spans="1:4" x14ac:dyDescent="0.2">
      <c r="A2026" s="16">
        <v>1214</v>
      </c>
      <c r="B2026" s="13">
        <v>1</v>
      </c>
      <c r="C2026" s="17">
        <v>400</v>
      </c>
      <c r="D2026" s="15">
        <f>177.1156575-9</f>
        <v>168.1156575</v>
      </c>
    </row>
    <row r="2027" spans="1:4" x14ac:dyDescent="0.2">
      <c r="A2027" s="16">
        <v>1214</v>
      </c>
      <c r="B2027" s="13">
        <v>2</v>
      </c>
      <c r="C2027" s="17">
        <v>400</v>
      </c>
      <c r="D2027" s="15">
        <f>148.5680625-9-3-13.5</f>
        <v>123.0680625</v>
      </c>
    </row>
    <row r="2028" spans="1:4" x14ac:dyDescent="0.2">
      <c r="A2028" s="12">
        <v>1215</v>
      </c>
      <c r="B2028" s="13">
        <v>1</v>
      </c>
      <c r="C2028" s="14">
        <v>400</v>
      </c>
      <c r="D2028" s="15">
        <f>151.3784475-2.75</f>
        <v>148.62844749999999</v>
      </c>
    </row>
    <row r="2029" spans="1:4" x14ac:dyDescent="0.2">
      <c r="A2029" s="12">
        <v>1215</v>
      </c>
      <c r="B2029" s="13">
        <v>2</v>
      </c>
      <c r="C2029" s="14">
        <v>400</v>
      </c>
      <c r="D2029" s="15">
        <v>131.63179500000001</v>
      </c>
    </row>
    <row r="2030" spans="1:4" x14ac:dyDescent="0.2">
      <c r="A2030" s="12">
        <v>1216</v>
      </c>
      <c r="B2030" s="13">
        <v>1</v>
      </c>
      <c r="C2030" s="14">
        <v>630</v>
      </c>
      <c r="D2030" s="15">
        <f>224-198-1.2</f>
        <v>24.8</v>
      </c>
    </row>
    <row r="2031" spans="1:4" x14ac:dyDescent="0.2">
      <c r="A2031" s="12">
        <v>1216</v>
      </c>
      <c r="B2031" s="13">
        <v>2</v>
      </c>
      <c r="C2031" s="14">
        <v>630</v>
      </c>
      <c r="D2031" s="15">
        <f>252-198</f>
        <v>54</v>
      </c>
    </row>
    <row r="2032" spans="1:4" x14ac:dyDescent="0.2">
      <c r="A2032" s="12">
        <v>1217</v>
      </c>
      <c r="B2032" s="13">
        <v>1</v>
      </c>
      <c r="C2032" s="14">
        <v>400</v>
      </c>
      <c r="D2032" s="15">
        <v>113.290335</v>
      </c>
    </row>
    <row r="2033" spans="1:4" x14ac:dyDescent="0.2">
      <c r="A2033" s="12">
        <v>1217</v>
      </c>
      <c r="B2033" s="13">
        <v>2</v>
      </c>
      <c r="C2033" s="14">
        <v>250</v>
      </c>
      <c r="D2033" s="15">
        <v>94.898115000000004</v>
      </c>
    </row>
    <row r="2034" spans="1:4" x14ac:dyDescent="0.2">
      <c r="A2034" s="12">
        <v>1218</v>
      </c>
      <c r="B2034" s="13">
        <v>1</v>
      </c>
      <c r="C2034" s="14">
        <v>250</v>
      </c>
      <c r="D2034" s="15">
        <f>129.78495-1.5</f>
        <v>128.28495000000001</v>
      </c>
    </row>
    <row r="2035" spans="1:4" x14ac:dyDescent="0.2">
      <c r="A2035" s="12">
        <v>1219</v>
      </c>
      <c r="B2035" s="13">
        <v>1</v>
      </c>
      <c r="C2035" s="14">
        <v>400</v>
      </c>
      <c r="D2035" s="15">
        <v>166.53973500000001</v>
      </c>
    </row>
    <row r="2036" spans="1:4" x14ac:dyDescent="0.2">
      <c r="A2036" s="12">
        <v>1219</v>
      </c>
      <c r="B2036" s="13">
        <v>2</v>
      </c>
      <c r="C2036" s="14">
        <v>400</v>
      </c>
      <c r="D2036" s="15">
        <v>124.7537475</v>
      </c>
    </row>
    <row r="2037" spans="1:4" x14ac:dyDescent="0.2">
      <c r="A2037" s="12">
        <v>1220</v>
      </c>
      <c r="B2037" s="13">
        <v>1</v>
      </c>
      <c r="C2037" s="14">
        <v>400</v>
      </c>
      <c r="D2037" s="15">
        <f>186-0.27-9-60-4.8</f>
        <v>111.92999999999999</v>
      </c>
    </row>
    <row r="2038" spans="1:4" x14ac:dyDescent="0.2">
      <c r="A2038" s="12">
        <v>1221</v>
      </c>
      <c r="B2038" s="13">
        <v>1</v>
      </c>
      <c r="C2038" s="14">
        <v>400</v>
      </c>
      <c r="D2038" s="15">
        <f>137.10465-7-7-30-10.5</f>
        <v>82.604649999999992</v>
      </c>
    </row>
    <row r="2039" spans="1:4" x14ac:dyDescent="0.2">
      <c r="A2039" s="12">
        <v>1221</v>
      </c>
      <c r="B2039" s="13">
        <v>2</v>
      </c>
      <c r="C2039" s="14">
        <v>400</v>
      </c>
      <c r="D2039" s="15">
        <f>161.214795-21-10.5</f>
        <v>129.71479500000001</v>
      </c>
    </row>
    <row r="2040" spans="1:4" x14ac:dyDescent="0.2">
      <c r="A2040" s="12">
        <v>1222</v>
      </c>
      <c r="B2040" s="13">
        <v>1</v>
      </c>
      <c r="C2040" s="14">
        <v>400</v>
      </c>
      <c r="D2040" s="15">
        <v>164.02518000000001</v>
      </c>
    </row>
    <row r="2041" spans="1:4" x14ac:dyDescent="0.2">
      <c r="A2041" s="12">
        <v>1222</v>
      </c>
      <c r="B2041" s="13">
        <v>2</v>
      </c>
      <c r="C2041" s="14">
        <v>400</v>
      </c>
      <c r="D2041" s="15">
        <v>155.15028000000001</v>
      </c>
    </row>
    <row r="2042" spans="1:4" x14ac:dyDescent="0.2">
      <c r="A2042" s="16">
        <v>1223</v>
      </c>
      <c r="B2042" s="13">
        <v>1</v>
      </c>
      <c r="C2042" s="17">
        <v>400</v>
      </c>
      <c r="D2042" s="15">
        <f>151.30449-0.07-21-10.5-10.5</f>
        <v>109.23448999999999</v>
      </c>
    </row>
    <row r="2043" spans="1:4" x14ac:dyDescent="0.2">
      <c r="A2043" s="16">
        <v>1223</v>
      </c>
      <c r="B2043" s="13">
        <v>2</v>
      </c>
      <c r="C2043" s="17">
        <v>400</v>
      </c>
      <c r="D2043" s="15">
        <f>140-10.5-4.9</f>
        <v>124.6</v>
      </c>
    </row>
    <row r="2044" spans="1:4" x14ac:dyDescent="0.2">
      <c r="A2044" s="21">
        <v>1224</v>
      </c>
      <c r="B2044" s="13">
        <v>1</v>
      </c>
      <c r="C2044" s="14">
        <v>400</v>
      </c>
      <c r="D2044" s="15">
        <f>157.960665-0.6</f>
        <v>157.36066500000001</v>
      </c>
    </row>
    <row r="2045" spans="1:4" x14ac:dyDescent="0.2">
      <c r="A2045" s="21">
        <v>1224</v>
      </c>
      <c r="B2045" s="13">
        <v>2</v>
      </c>
      <c r="C2045" s="14">
        <v>400</v>
      </c>
      <c r="D2045" s="15">
        <f>180-42</f>
        <v>138</v>
      </c>
    </row>
    <row r="2046" spans="1:4" x14ac:dyDescent="0.2">
      <c r="A2046" s="12">
        <v>1225</v>
      </c>
      <c r="B2046" s="13">
        <v>1</v>
      </c>
      <c r="C2046" s="14">
        <v>250</v>
      </c>
      <c r="D2046" s="15">
        <v>97.782457500000007</v>
      </c>
    </row>
    <row r="2047" spans="1:4" x14ac:dyDescent="0.2">
      <c r="A2047" s="12">
        <v>1225</v>
      </c>
      <c r="B2047" s="13">
        <v>2</v>
      </c>
      <c r="C2047" s="14">
        <v>250</v>
      </c>
      <c r="D2047" s="15">
        <v>63.24430499999999</v>
      </c>
    </row>
    <row r="2048" spans="1:4" x14ac:dyDescent="0.2">
      <c r="A2048" s="12">
        <v>1226</v>
      </c>
      <c r="B2048" s="13">
        <v>1</v>
      </c>
      <c r="C2048" s="14">
        <v>400</v>
      </c>
      <c r="D2048" s="15">
        <v>149.75138250000001</v>
      </c>
    </row>
    <row r="2049" spans="1:4" x14ac:dyDescent="0.2">
      <c r="A2049" s="12">
        <v>1226</v>
      </c>
      <c r="B2049" s="13">
        <v>2</v>
      </c>
      <c r="C2049" s="14">
        <v>400</v>
      </c>
      <c r="D2049" s="15">
        <v>148.49410499999999</v>
      </c>
    </row>
    <row r="2050" spans="1:4" x14ac:dyDescent="0.2">
      <c r="A2050" s="16">
        <v>1227</v>
      </c>
      <c r="B2050" s="13">
        <v>1</v>
      </c>
      <c r="C2050" s="17">
        <v>250</v>
      </c>
      <c r="D2050" s="15">
        <v>0</v>
      </c>
    </row>
    <row r="2051" spans="1:4" x14ac:dyDescent="0.2">
      <c r="A2051" s="16">
        <v>1227</v>
      </c>
      <c r="B2051" s="13">
        <v>2</v>
      </c>
      <c r="C2051" s="17">
        <v>400</v>
      </c>
      <c r="D2051" s="15">
        <v>0</v>
      </c>
    </row>
    <row r="2052" spans="1:4" x14ac:dyDescent="0.2">
      <c r="A2052" s="12">
        <v>1228</v>
      </c>
      <c r="B2052" s="13">
        <v>1</v>
      </c>
      <c r="C2052" s="14">
        <v>630</v>
      </c>
      <c r="D2052" s="15">
        <f>206.8060725-10.5-10.5-9.59-7-9-9-10.5-3-4.5</f>
        <v>133.2160725</v>
      </c>
    </row>
    <row r="2053" spans="1:4" x14ac:dyDescent="0.2">
      <c r="A2053" s="12">
        <v>1228</v>
      </c>
      <c r="B2053" s="13">
        <v>2</v>
      </c>
      <c r="C2053" s="14">
        <v>630</v>
      </c>
      <c r="D2053" s="15">
        <f>265.010625-10.5-2.1-9.8-10.5-9.59-9-9</f>
        <v>204.520625</v>
      </c>
    </row>
    <row r="2054" spans="1:4" x14ac:dyDescent="0.2">
      <c r="A2054" s="12">
        <v>1229</v>
      </c>
      <c r="B2054" s="13">
        <v>1</v>
      </c>
      <c r="C2054" s="14">
        <v>400</v>
      </c>
      <c r="D2054" s="15">
        <v>180</v>
      </c>
    </row>
    <row r="2055" spans="1:4" x14ac:dyDescent="0.2">
      <c r="A2055" s="12">
        <v>1229</v>
      </c>
      <c r="B2055" s="13">
        <v>2</v>
      </c>
      <c r="C2055" s="14">
        <v>400</v>
      </c>
      <c r="D2055" s="15">
        <v>154.26279</v>
      </c>
    </row>
    <row r="2056" spans="1:4" x14ac:dyDescent="0.2">
      <c r="A2056" s="16">
        <v>1230</v>
      </c>
      <c r="B2056" s="13">
        <v>1</v>
      </c>
      <c r="C2056" s="17">
        <v>400</v>
      </c>
      <c r="D2056" s="15">
        <f>160.17939-3.52-28-28</f>
        <v>100.65939</v>
      </c>
    </row>
    <row r="2057" spans="1:4" x14ac:dyDescent="0.2">
      <c r="A2057" s="16">
        <v>1230</v>
      </c>
      <c r="B2057" s="13">
        <v>2</v>
      </c>
      <c r="C2057" s="17">
        <v>400</v>
      </c>
      <c r="D2057" s="15">
        <f>149.82534-14</f>
        <v>135.82534000000001</v>
      </c>
    </row>
    <row r="2058" spans="1:4" x14ac:dyDescent="0.2">
      <c r="A2058" s="16">
        <v>1231</v>
      </c>
      <c r="B2058" s="13">
        <v>1</v>
      </c>
      <c r="C2058" s="17">
        <v>400</v>
      </c>
      <c r="D2058" s="15">
        <f>153.227385-6.3-10.5-0.07-0.7</f>
        <v>135.657385</v>
      </c>
    </row>
    <row r="2059" spans="1:4" x14ac:dyDescent="0.2">
      <c r="A2059" s="16">
        <v>1231</v>
      </c>
      <c r="B2059" s="13">
        <v>2</v>
      </c>
      <c r="C2059" s="17">
        <v>400</v>
      </c>
      <c r="D2059" s="15">
        <v>140.06295</v>
      </c>
    </row>
    <row r="2060" spans="1:4" x14ac:dyDescent="0.2">
      <c r="A2060" s="16">
        <v>1232</v>
      </c>
      <c r="B2060" s="13">
        <v>1</v>
      </c>
      <c r="C2060" s="17">
        <v>400</v>
      </c>
      <c r="D2060" s="15">
        <f>150.12117-10.5-18.97</f>
        <v>120.65117000000001</v>
      </c>
    </row>
    <row r="2061" spans="1:4" x14ac:dyDescent="0.2">
      <c r="A2061" s="16">
        <v>1232</v>
      </c>
      <c r="B2061" s="13">
        <v>2</v>
      </c>
      <c r="C2061" s="17">
        <v>400</v>
      </c>
      <c r="D2061" s="15">
        <v>146.42329500000002</v>
      </c>
    </row>
    <row r="2062" spans="1:4" x14ac:dyDescent="0.2">
      <c r="A2062" s="16">
        <v>1233</v>
      </c>
      <c r="B2062" s="13">
        <v>1</v>
      </c>
      <c r="C2062" s="17">
        <v>250</v>
      </c>
      <c r="D2062" s="15">
        <f>117-10.5</f>
        <v>106.5</v>
      </c>
    </row>
    <row r="2063" spans="1:4" x14ac:dyDescent="0.2">
      <c r="A2063" s="16">
        <v>1234</v>
      </c>
      <c r="B2063" s="13">
        <v>1</v>
      </c>
      <c r="C2063" s="17">
        <v>400</v>
      </c>
      <c r="D2063" s="15">
        <f>126.5287275-7</f>
        <v>119.5287275</v>
      </c>
    </row>
    <row r="2064" spans="1:4" x14ac:dyDescent="0.2">
      <c r="A2064" s="12">
        <v>1234</v>
      </c>
      <c r="B2064" s="13">
        <v>2</v>
      </c>
      <c r="C2064" s="14">
        <v>400</v>
      </c>
      <c r="D2064" s="15">
        <v>177.33752999999999</v>
      </c>
    </row>
    <row r="2065" spans="1:4" x14ac:dyDescent="0.2">
      <c r="A2065" s="16">
        <v>1235</v>
      </c>
      <c r="B2065" s="13">
        <v>1</v>
      </c>
      <c r="C2065" s="17">
        <v>400</v>
      </c>
      <c r="D2065" s="15">
        <f>141.394185-10.5-4.95-10.5-10.5</f>
        <v>104.94418499999999</v>
      </c>
    </row>
    <row r="2066" spans="1:4" x14ac:dyDescent="0.2">
      <c r="A2066" s="16">
        <v>1235</v>
      </c>
      <c r="B2066" s="13">
        <v>2</v>
      </c>
      <c r="C2066" s="17">
        <v>400</v>
      </c>
      <c r="D2066" s="15">
        <v>155</v>
      </c>
    </row>
    <row r="2067" spans="1:4" x14ac:dyDescent="0.2">
      <c r="A2067" s="12">
        <v>1236</v>
      </c>
      <c r="B2067" s="13">
        <v>1</v>
      </c>
      <c r="C2067" s="14">
        <v>630</v>
      </c>
      <c r="D2067" s="15">
        <v>264.1970925</v>
      </c>
    </row>
    <row r="2068" spans="1:4" x14ac:dyDescent="0.2">
      <c r="A2068" s="12">
        <v>1236</v>
      </c>
      <c r="B2068" s="13">
        <v>2</v>
      </c>
      <c r="C2068" s="14">
        <v>630</v>
      </c>
      <c r="D2068" s="15">
        <f>217.7517825-10.5</f>
        <v>207.25178249999999</v>
      </c>
    </row>
    <row r="2069" spans="1:4" x14ac:dyDescent="0.2">
      <c r="A2069" s="16">
        <v>1237</v>
      </c>
      <c r="B2069" s="13">
        <v>1</v>
      </c>
      <c r="C2069" s="17">
        <v>400</v>
      </c>
      <c r="D2069" s="15">
        <v>152.70968250000001</v>
      </c>
    </row>
    <row r="2070" spans="1:4" x14ac:dyDescent="0.2">
      <c r="A2070" s="16">
        <v>1237</v>
      </c>
      <c r="B2070" s="13">
        <v>2</v>
      </c>
      <c r="C2070" s="17">
        <v>400</v>
      </c>
      <c r="D2070" s="15">
        <f>89.57463-10.5-7.35</f>
        <v>71.724630000000005</v>
      </c>
    </row>
    <row r="2071" spans="1:4" x14ac:dyDescent="0.2">
      <c r="A2071" s="16">
        <v>1238</v>
      </c>
      <c r="B2071" s="13">
        <v>1</v>
      </c>
      <c r="C2071" s="17">
        <v>400</v>
      </c>
      <c r="D2071" s="15">
        <f>121.3517025-6-4.2</f>
        <v>111.1517025</v>
      </c>
    </row>
    <row r="2072" spans="1:4" x14ac:dyDescent="0.2">
      <c r="A2072" s="16">
        <v>1238</v>
      </c>
      <c r="B2072" s="13">
        <v>2</v>
      </c>
      <c r="C2072" s="17">
        <v>400</v>
      </c>
      <c r="D2072" s="15">
        <f>155.6679825-6-18</f>
        <v>131.66798249999999</v>
      </c>
    </row>
    <row r="2073" spans="1:4" x14ac:dyDescent="0.2">
      <c r="A2073" s="12">
        <v>1239</v>
      </c>
      <c r="B2073" s="13">
        <v>1</v>
      </c>
      <c r="C2073" s="14">
        <v>400</v>
      </c>
      <c r="D2073" s="15">
        <f>130.89222-3.5-10.5</f>
        <v>116.89222000000001</v>
      </c>
    </row>
    <row r="2074" spans="1:4" x14ac:dyDescent="0.2">
      <c r="A2074" s="12">
        <v>1239</v>
      </c>
      <c r="B2074" s="13">
        <v>2</v>
      </c>
      <c r="C2074" s="14">
        <v>400</v>
      </c>
      <c r="D2074" s="15">
        <v>141.69001499999999</v>
      </c>
    </row>
    <row r="2075" spans="1:4" x14ac:dyDescent="0.2">
      <c r="A2075" s="16">
        <v>1240</v>
      </c>
      <c r="B2075" s="13">
        <v>1</v>
      </c>
      <c r="C2075" s="17">
        <v>400</v>
      </c>
      <c r="D2075" s="15">
        <f>146.2014225-9-7</f>
        <v>130.20142250000001</v>
      </c>
    </row>
    <row r="2076" spans="1:4" x14ac:dyDescent="0.2">
      <c r="A2076" s="16">
        <v>1240</v>
      </c>
      <c r="B2076" s="13">
        <v>2</v>
      </c>
      <c r="C2076" s="17">
        <v>400</v>
      </c>
      <c r="D2076" s="15">
        <f>97.1676-38.82-15</f>
        <v>43.347599999999993</v>
      </c>
    </row>
    <row r="2077" spans="1:4" x14ac:dyDescent="0.2">
      <c r="A2077" s="12">
        <v>1241</v>
      </c>
      <c r="B2077" s="13">
        <v>1</v>
      </c>
      <c r="C2077" s="14">
        <v>630</v>
      </c>
      <c r="D2077" s="15">
        <f>246.5952075-6-33</f>
        <v>207.59520749999999</v>
      </c>
    </row>
    <row r="2078" spans="1:4" x14ac:dyDescent="0.2">
      <c r="A2078" s="12">
        <v>1241</v>
      </c>
      <c r="B2078" s="13">
        <v>2</v>
      </c>
      <c r="C2078" s="14">
        <v>630</v>
      </c>
      <c r="D2078" s="15">
        <v>226.01037000000002</v>
      </c>
    </row>
    <row r="2079" spans="1:4" x14ac:dyDescent="0.2">
      <c r="A2079" s="12">
        <v>1242</v>
      </c>
      <c r="B2079" s="13">
        <v>1</v>
      </c>
      <c r="C2079" s="14">
        <v>400</v>
      </c>
      <c r="D2079" s="15">
        <f>153.1534275-31.5-14</f>
        <v>107.65342749999999</v>
      </c>
    </row>
    <row r="2080" spans="1:4" x14ac:dyDescent="0.2">
      <c r="A2080" s="12">
        <v>1242</v>
      </c>
      <c r="B2080" s="13">
        <v>2</v>
      </c>
      <c r="C2080" s="14">
        <v>250</v>
      </c>
      <c r="D2080" s="15">
        <f>93.4929225-31.5-6.6</f>
        <v>55.392922500000005</v>
      </c>
    </row>
    <row r="2081" spans="1:4" x14ac:dyDescent="0.2">
      <c r="A2081" s="12">
        <v>1243</v>
      </c>
      <c r="B2081" s="13">
        <v>1</v>
      </c>
      <c r="C2081" s="14">
        <v>250</v>
      </c>
      <c r="D2081" s="15">
        <f>87.8721525-3.6-6.6-5.4-5.4</f>
        <v>66.872152499999999</v>
      </c>
    </row>
    <row r="2082" spans="1:4" x14ac:dyDescent="0.2">
      <c r="A2082" s="12">
        <v>1243</v>
      </c>
      <c r="B2082" s="13">
        <v>2</v>
      </c>
      <c r="C2082" s="14">
        <v>250</v>
      </c>
      <c r="D2082" s="15">
        <v>94.528327500000003</v>
      </c>
    </row>
    <row r="2083" spans="1:4" x14ac:dyDescent="0.2">
      <c r="A2083" s="12">
        <v>1244</v>
      </c>
      <c r="B2083" s="13">
        <v>1</v>
      </c>
      <c r="C2083" s="14">
        <v>250</v>
      </c>
      <c r="D2083" s="15">
        <v>68</v>
      </c>
    </row>
    <row r="2084" spans="1:4" x14ac:dyDescent="0.2">
      <c r="A2084" s="12">
        <v>1244</v>
      </c>
      <c r="B2084" s="13">
        <v>2</v>
      </c>
      <c r="C2084" s="14">
        <v>250</v>
      </c>
      <c r="D2084" s="15">
        <v>113</v>
      </c>
    </row>
    <row r="2085" spans="1:4" x14ac:dyDescent="0.2">
      <c r="A2085" s="12">
        <v>1245</v>
      </c>
      <c r="B2085" s="13">
        <v>1</v>
      </c>
      <c r="C2085" s="14">
        <v>400</v>
      </c>
      <c r="D2085" s="15">
        <f>137.252565-45.5</f>
        <v>91.752565000000004</v>
      </c>
    </row>
    <row r="2086" spans="1:4" x14ac:dyDescent="0.2">
      <c r="A2086" s="12">
        <v>1245</v>
      </c>
      <c r="B2086" s="13">
        <v>2</v>
      </c>
      <c r="C2086" s="14">
        <v>320</v>
      </c>
      <c r="D2086" s="15">
        <f>127.877265-10.5</f>
        <v>117.37726499999999</v>
      </c>
    </row>
    <row r="2087" spans="1:4" x14ac:dyDescent="0.2">
      <c r="A2087" s="16">
        <v>1246</v>
      </c>
      <c r="B2087" s="13">
        <v>1</v>
      </c>
      <c r="C2087" s="17">
        <v>400</v>
      </c>
      <c r="D2087" s="15">
        <f>159.2179425-1.2-3.85</f>
        <v>154.16794250000001</v>
      </c>
    </row>
    <row r="2088" spans="1:4" x14ac:dyDescent="0.2">
      <c r="A2088" s="16">
        <v>1246</v>
      </c>
      <c r="B2088" s="13">
        <v>2</v>
      </c>
      <c r="C2088" s="17">
        <v>400</v>
      </c>
      <c r="D2088" s="15">
        <v>163.06373250000001</v>
      </c>
    </row>
    <row r="2089" spans="1:4" x14ac:dyDescent="0.2">
      <c r="A2089" s="12">
        <v>1247</v>
      </c>
      <c r="B2089" s="13">
        <v>1</v>
      </c>
      <c r="C2089" s="14">
        <v>400</v>
      </c>
      <c r="D2089" s="15">
        <v>143.90873999999999</v>
      </c>
    </row>
    <row r="2090" spans="1:4" x14ac:dyDescent="0.2">
      <c r="A2090" s="12">
        <v>1247</v>
      </c>
      <c r="B2090" s="13">
        <v>2</v>
      </c>
      <c r="C2090" s="14">
        <v>400</v>
      </c>
      <c r="D2090" s="15">
        <v>144.2785275</v>
      </c>
    </row>
    <row r="2091" spans="1:4" x14ac:dyDescent="0.2">
      <c r="A2091" s="16">
        <v>1248</v>
      </c>
      <c r="B2091" s="13">
        <v>1</v>
      </c>
      <c r="C2091" s="17">
        <v>400</v>
      </c>
      <c r="D2091" s="15">
        <v>165.28245750000002</v>
      </c>
    </row>
    <row r="2092" spans="1:4" x14ac:dyDescent="0.2">
      <c r="A2092" s="16">
        <v>1248</v>
      </c>
      <c r="B2092" s="13">
        <v>2</v>
      </c>
      <c r="C2092" s="17">
        <v>400</v>
      </c>
      <c r="D2092" s="15">
        <f>171.71676-3.5</f>
        <v>168.21675999999999</v>
      </c>
    </row>
    <row r="2093" spans="1:4" x14ac:dyDescent="0.2">
      <c r="A2093" s="16">
        <v>1249</v>
      </c>
      <c r="B2093" s="13">
        <v>1</v>
      </c>
      <c r="C2093" s="17">
        <v>400</v>
      </c>
      <c r="D2093" s="15">
        <v>166.90952250000001</v>
      </c>
    </row>
    <row r="2094" spans="1:4" x14ac:dyDescent="0.2">
      <c r="A2094" s="16">
        <v>1249</v>
      </c>
      <c r="B2094" s="13">
        <v>2</v>
      </c>
      <c r="C2094" s="17">
        <v>400</v>
      </c>
      <c r="D2094" s="15">
        <v>134.6640525</v>
      </c>
    </row>
    <row r="2095" spans="1:4" x14ac:dyDescent="0.2">
      <c r="A2095" s="16">
        <v>1250</v>
      </c>
      <c r="B2095" s="13">
        <v>1</v>
      </c>
      <c r="C2095" s="17">
        <v>400</v>
      </c>
      <c r="D2095" s="15">
        <v>98.720707500000003</v>
      </c>
    </row>
    <row r="2096" spans="1:4" x14ac:dyDescent="0.2">
      <c r="A2096" s="16">
        <v>1250</v>
      </c>
      <c r="B2096" s="13">
        <v>2</v>
      </c>
      <c r="C2096" s="17">
        <v>400</v>
      </c>
      <c r="D2096" s="15">
        <v>157.66483500000001</v>
      </c>
    </row>
    <row r="2097" spans="1:4" x14ac:dyDescent="0.2">
      <c r="A2097" s="16">
        <v>1251</v>
      </c>
      <c r="B2097" s="13">
        <v>1</v>
      </c>
      <c r="C2097" s="17">
        <v>400</v>
      </c>
      <c r="D2097" s="15">
        <v>0</v>
      </c>
    </row>
    <row r="2098" spans="1:4" x14ac:dyDescent="0.2">
      <c r="A2098" s="16">
        <v>1251</v>
      </c>
      <c r="B2098" s="13">
        <v>2</v>
      </c>
      <c r="C2098" s="17">
        <v>400</v>
      </c>
      <c r="D2098" s="15">
        <f>150.417-10.5</f>
        <v>139.917</v>
      </c>
    </row>
    <row r="2099" spans="1:4" x14ac:dyDescent="0.2">
      <c r="A2099" s="16">
        <v>1252</v>
      </c>
      <c r="B2099" s="13">
        <v>1</v>
      </c>
      <c r="C2099" s="17">
        <v>400</v>
      </c>
      <c r="D2099" s="15">
        <v>158.92211250000003</v>
      </c>
    </row>
    <row r="2100" spans="1:4" x14ac:dyDescent="0.2">
      <c r="A2100" s="16">
        <v>1252</v>
      </c>
      <c r="B2100" s="13">
        <v>2</v>
      </c>
      <c r="C2100" s="17">
        <v>400</v>
      </c>
      <c r="D2100" s="15">
        <v>156.70338750000002</v>
      </c>
    </row>
    <row r="2101" spans="1:4" x14ac:dyDescent="0.2">
      <c r="A2101" s="16">
        <v>1253</v>
      </c>
      <c r="B2101" s="13">
        <v>1</v>
      </c>
      <c r="C2101" s="17">
        <v>400</v>
      </c>
      <c r="D2101" s="15">
        <v>174.08339999999998</v>
      </c>
    </row>
    <row r="2102" spans="1:4" x14ac:dyDescent="0.2">
      <c r="A2102" s="16">
        <v>1253</v>
      </c>
      <c r="B2102" s="13">
        <v>2</v>
      </c>
      <c r="C2102" s="17">
        <v>250</v>
      </c>
      <c r="D2102" s="15">
        <v>109.91148750000001</v>
      </c>
    </row>
    <row r="2103" spans="1:4" x14ac:dyDescent="0.2">
      <c r="A2103" s="12">
        <v>1254</v>
      </c>
      <c r="B2103" s="13">
        <v>1</v>
      </c>
      <c r="C2103" s="14">
        <v>400</v>
      </c>
      <c r="D2103" s="15">
        <v>0</v>
      </c>
    </row>
    <row r="2104" spans="1:4" x14ac:dyDescent="0.2">
      <c r="A2104" s="12">
        <v>1254</v>
      </c>
      <c r="B2104" s="13">
        <v>2</v>
      </c>
      <c r="C2104" s="14">
        <v>400</v>
      </c>
      <c r="D2104" s="15">
        <v>0</v>
      </c>
    </row>
    <row r="2105" spans="1:4" x14ac:dyDescent="0.2">
      <c r="A2105" s="12">
        <v>1255</v>
      </c>
      <c r="B2105" s="13">
        <v>1</v>
      </c>
      <c r="C2105" s="14">
        <v>400</v>
      </c>
      <c r="D2105" s="15">
        <v>178.00314750000001</v>
      </c>
    </row>
    <row r="2106" spans="1:4" x14ac:dyDescent="0.2">
      <c r="A2106" s="12">
        <v>1255</v>
      </c>
      <c r="B2106" s="13">
        <v>2</v>
      </c>
      <c r="C2106" s="14">
        <v>250</v>
      </c>
      <c r="D2106" s="15">
        <v>64.871369999999999</v>
      </c>
    </row>
    <row r="2107" spans="1:4" x14ac:dyDescent="0.2">
      <c r="A2107" s="12">
        <v>1256</v>
      </c>
      <c r="B2107" s="13">
        <v>1</v>
      </c>
      <c r="C2107" s="14">
        <v>250</v>
      </c>
      <c r="D2107" s="15">
        <f>79.1451675-4.2-42</f>
        <v>32.945167499999997</v>
      </c>
    </row>
    <row r="2108" spans="1:4" x14ac:dyDescent="0.2">
      <c r="A2108" s="12">
        <v>1256</v>
      </c>
      <c r="B2108" s="13">
        <v>2</v>
      </c>
      <c r="C2108" s="14">
        <v>250</v>
      </c>
      <c r="D2108" s="15">
        <f>92.97522-21</f>
        <v>71.975219999999993</v>
      </c>
    </row>
    <row r="2109" spans="1:4" x14ac:dyDescent="0.2">
      <c r="A2109" s="12">
        <v>1257</v>
      </c>
      <c r="B2109" s="13">
        <v>1</v>
      </c>
      <c r="C2109" s="14">
        <v>400</v>
      </c>
      <c r="D2109" s="15">
        <v>145.7576775</v>
      </c>
    </row>
    <row r="2110" spans="1:4" x14ac:dyDescent="0.2">
      <c r="A2110" s="12">
        <v>1257</v>
      </c>
      <c r="B2110" s="13">
        <v>2</v>
      </c>
      <c r="C2110" s="14">
        <v>400</v>
      </c>
      <c r="D2110" s="15">
        <v>124.60583250000002</v>
      </c>
    </row>
    <row r="2111" spans="1:4" x14ac:dyDescent="0.2">
      <c r="A2111" s="12">
        <v>1258</v>
      </c>
      <c r="B2111" s="13">
        <v>1</v>
      </c>
      <c r="C2111" s="14">
        <v>250</v>
      </c>
      <c r="D2111" s="15">
        <v>93.197092499999997</v>
      </c>
    </row>
    <row r="2112" spans="1:4" x14ac:dyDescent="0.2">
      <c r="A2112" s="12">
        <v>1258</v>
      </c>
      <c r="B2112" s="13">
        <v>2</v>
      </c>
      <c r="C2112" s="14">
        <v>250</v>
      </c>
      <c r="D2112" s="15">
        <v>88.907557499999996</v>
      </c>
    </row>
    <row r="2113" spans="1:4" x14ac:dyDescent="0.2">
      <c r="A2113" s="12">
        <v>1259</v>
      </c>
      <c r="B2113" s="13">
        <v>1</v>
      </c>
      <c r="C2113" s="14">
        <v>400</v>
      </c>
      <c r="D2113" s="15">
        <f>104.85918-10.5-8.75-3.5</f>
        <v>82.109179999999995</v>
      </c>
    </row>
    <row r="2114" spans="1:4" x14ac:dyDescent="0.2">
      <c r="A2114" s="12">
        <v>1259</v>
      </c>
      <c r="B2114" s="13">
        <v>2</v>
      </c>
      <c r="C2114" s="14">
        <v>400</v>
      </c>
      <c r="D2114" s="15">
        <f>159.6616875-13.65</f>
        <v>146.01168749999999</v>
      </c>
    </row>
    <row r="2115" spans="1:4" x14ac:dyDescent="0.2">
      <c r="A2115" s="12">
        <v>1260</v>
      </c>
      <c r="B2115" s="13">
        <v>1</v>
      </c>
      <c r="C2115" s="14">
        <v>400</v>
      </c>
      <c r="D2115" s="15">
        <f>107.7435225-0.54-42</f>
        <v>65.203522499999991</v>
      </c>
    </row>
    <row r="2116" spans="1:4" x14ac:dyDescent="0.2">
      <c r="A2116" s="12">
        <v>1260</v>
      </c>
      <c r="B2116" s="13">
        <v>2</v>
      </c>
      <c r="C2116" s="14">
        <v>400</v>
      </c>
      <c r="D2116" s="15">
        <f>155.74194-42</f>
        <v>113.74194</v>
      </c>
    </row>
    <row r="2117" spans="1:4" x14ac:dyDescent="0.2">
      <c r="A2117" s="12">
        <v>1261</v>
      </c>
      <c r="B2117" s="13">
        <v>1</v>
      </c>
      <c r="C2117" s="14">
        <v>250</v>
      </c>
      <c r="D2117" s="15">
        <f>77.59206-3-4.48-6.3</f>
        <v>63.812060000000002</v>
      </c>
    </row>
    <row r="2118" spans="1:4" x14ac:dyDescent="0.2">
      <c r="A2118" s="12">
        <v>1261</v>
      </c>
      <c r="B2118" s="13">
        <v>2</v>
      </c>
      <c r="C2118" s="14">
        <v>250</v>
      </c>
      <c r="D2118" s="15">
        <f>108.2844225-23.4</f>
        <v>84.884422499999999</v>
      </c>
    </row>
    <row r="2119" spans="1:4" x14ac:dyDescent="0.2">
      <c r="A2119" s="12">
        <v>1262</v>
      </c>
      <c r="B2119" s="13">
        <v>1</v>
      </c>
      <c r="C2119" s="14">
        <v>250</v>
      </c>
      <c r="D2119" s="15">
        <f>75.52125-9-9</f>
        <v>57.521249999999995</v>
      </c>
    </row>
    <row r="2120" spans="1:4" x14ac:dyDescent="0.2">
      <c r="A2120" s="12">
        <v>1262</v>
      </c>
      <c r="B2120" s="13">
        <v>2</v>
      </c>
      <c r="C2120" s="14">
        <v>250</v>
      </c>
      <c r="D2120" s="15">
        <f>93.1970925-60-9</f>
        <v>24.197092499999997</v>
      </c>
    </row>
    <row r="2121" spans="1:4" x14ac:dyDescent="0.2">
      <c r="A2121" s="12">
        <v>1263</v>
      </c>
      <c r="B2121" s="13">
        <v>1</v>
      </c>
      <c r="C2121" s="14">
        <v>400</v>
      </c>
      <c r="D2121" s="15">
        <v>148.49410499999999</v>
      </c>
    </row>
    <row r="2122" spans="1:4" x14ac:dyDescent="0.2">
      <c r="A2122" s="12">
        <v>1263</v>
      </c>
      <c r="B2122" s="13">
        <v>2</v>
      </c>
      <c r="C2122" s="14">
        <v>250</v>
      </c>
      <c r="D2122" s="15">
        <f>96.3033075-7</f>
        <v>89.303307500000003</v>
      </c>
    </row>
    <row r="2123" spans="1:4" x14ac:dyDescent="0.2">
      <c r="A2123" s="16">
        <v>1264</v>
      </c>
      <c r="B2123" s="13">
        <v>1</v>
      </c>
      <c r="C2123" s="17">
        <v>250</v>
      </c>
      <c r="D2123" s="15">
        <f>107.1011025-7.83</f>
        <v>99.271102499999998</v>
      </c>
    </row>
    <row r="2124" spans="1:4" x14ac:dyDescent="0.2">
      <c r="A2124" s="16">
        <v>1264</v>
      </c>
      <c r="B2124" s="13">
        <v>2</v>
      </c>
      <c r="C2124" s="17">
        <v>250</v>
      </c>
      <c r="D2124" s="15">
        <v>100.8886725</v>
      </c>
    </row>
    <row r="2125" spans="1:4" x14ac:dyDescent="0.2">
      <c r="A2125" s="12">
        <v>1265</v>
      </c>
      <c r="B2125" s="13">
        <v>1</v>
      </c>
      <c r="C2125" s="14">
        <v>160</v>
      </c>
      <c r="D2125" s="15">
        <v>68.597954999999999</v>
      </c>
    </row>
    <row r="2126" spans="1:4" x14ac:dyDescent="0.2">
      <c r="A2126" s="12">
        <v>1265</v>
      </c>
      <c r="B2126" s="13">
        <v>2</v>
      </c>
      <c r="C2126" s="14">
        <v>160</v>
      </c>
      <c r="D2126" s="15">
        <f>48.1117275-7</f>
        <v>41.111727500000001</v>
      </c>
    </row>
    <row r="2127" spans="1:4" x14ac:dyDescent="0.2">
      <c r="A2127" s="16">
        <v>1266</v>
      </c>
      <c r="B2127" s="13">
        <v>1</v>
      </c>
      <c r="C2127" s="17">
        <v>250</v>
      </c>
      <c r="D2127" s="15">
        <f>125.54472-9-11.4-9</f>
        <v>96.144719999999992</v>
      </c>
    </row>
    <row r="2128" spans="1:4" x14ac:dyDescent="0.2">
      <c r="A2128" s="16">
        <v>1267</v>
      </c>
      <c r="B2128" s="13">
        <v>1</v>
      </c>
      <c r="C2128" s="17">
        <v>250</v>
      </c>
      <c r="D2128" s="15">
        <f>98.0782875-8.25-10.5-6</f>
        <v>73.328287500000002</v>
      </c>
    </row>
    <row r="2129" spans="1:4" x14ac:dyDescent="0.2">
      <c r="A2129" s="12">
        <v>1267</v>
      </c>
      <c r="B2129" s="13">
        <v>2</v>
      </c>
      <c r="C2129" s="14">
        <v>180</v>
      </c>
      <c r="D2129" s="15">
        <f>57.1117275-7</f>
        <v>50.111727500000001</v>
      </c>
    </row>
    <row r="2130" spans="1:4" x14ac:dyDescent="0.2">
      <c r="A2130" s="12">
        <v>1268</v>
      </c>
      <c r="B2130" s="13">
        <v>1</v>
      </c>
      <c r="C2130" s="14">
        <v>400</v>
      </c>
      <c r="D2130" s="15">
        <f>166.98348-10.5-10.5-10.5-10.5-10.5</f>
        <v>114.48347999999999</v>
      </c>
    </row>
    <row r="2131" spans="1:4" x14ac:dyDescent="0.2">
      <c r="A2131" s="12">
        <v>1268</v>
      </c>
      <c r="B2131" s="13">
        <v>2</v>
      </c>
      <c r="C2131" s="14">
        <v>400</v>
      </c>
      <c r="D2131" s="15">
        <f>111.7372275-10.5-24.5</f>
        <v>76.737227500000003</v>
      </c>
    </row>
    <row r="2132" spans="1:4" x14ac:dyDescent="0.2">
      <c r="A2132" s="16">
        <v>1269</v>
      </c>
      <c r="B2132" s="13">
        <v>1</v>
      </c>
      <c r="C2132" s="17">
        <v>400</v>
      </c>
      <c r="D2132" s="15">
        <f>148.64202-10.5-4.2-3.5</f>
        <v>130.44202000000001</v>
      </c>
    </row>
    <row r="2133" spans="1:4" x14ac:dyDescent="0.2">
      <c r="A2133" s="16">
        <v>1269</v>
      </c>
      <c r="B2133" s="13">
        <v>2</v>
      </c>
      <c r="C2133" s="17">
        <v>400</v>
      </c>
      <c r="D2133" s="15">
        <v>129.93077250000002</v>
      </c>
    </row>
    <row r="2134" spans="1:4" x14ac:dyDescent="0.2">
      <c r="A2134" s="16">
        <v>1270</v>
      </c>
      <c r="B2134" s="13">
        <v>1</v>
      </c>
      <c r="C2134" s="17">
        <v>400</v>
      </c>
      <c r="D2134" s="15">
        <v>169.2761625</v>
      </c>
    </row>
    <row r="2135" spans="1:4" x14ac:dyDescent="0.2">
      <c r="A2135" s="16">
        <v>1270</v>
      </c>
      <c r="B2135" s="13">
        <v>2</v>
      </c>
      <c r="C2135" s="17">
        <v>400</v>
      </c>
      <c r="D2135" s="15">
        <v>180</v>
      </c>
    </row>
    <row r="2136" spans="1:4" x14ac:dyDescent="0.2">
      <c r="A2136" s="16">
        <v>1271</v>
      </c>
      <c r="B2136" s="13">
        <v>1</v>
      </c>
      <c r="C2136" s="17">
        <v>400</v>
      </c>
      <c r="D2136" s="15">
        <f>107.22582-9-8.4</f>
        <v>89.825819999999993</v>
      </c>
    </row>
    <row r="2137" spans="1:4" x14ac:dyDescent="0.2">
      <c r="A2137" s="16">
        <v>1271</v>
      </c>
      <c r="B2137" s="13">
        <v>2</v>
      </c>
      <c r="C2137" s="17">
        <v>400</v>
      </c>
      <c r="D2137" s="15">
        <f>180-14.4-1.8</f>
        <v>163.79999999999998</v>
      </c>
    </row>
    <row r="2138" spans="1:4" x14ac:dyDescent="0.2">
      <c r="A2138" s="12">
        <v>1272</v>
      </c>
      <c r="B2138" s="13">
        <v>1</v>
      </c>
      <c r="C2138" s="14">
        <v>400</v>
      </c>
      <c r="D2138" s="15">
        <f>138.2140125-7</f>
        <v>131.2140125</v>
      </c>
    </row>
    <row r="2139" spans="1:4" x14ac:dyDescent="0.2">
      <c r="A2139" s="12">
        <v>1272</v>
      </c>
      <c r="B2139" s="13">
        <v>2</v>
      </c>
      <c r="C2139" s="14">
        <v>250</v>
      </c>
      <c r="D2139" s="15">
        <v>71.527545000000018</v>
      </c>
    </row>
    <row r="2140" spans="1:4" x14ac:dyDescent="0.2">
      <c r="A2140" s="12">
        <v>1273</v>
      </c>
      <c r="B2140" s="13">
        <v>1</v>
      </c>
      <c r="C2140" s="14">
        <v>400</v>
      </c>
      <c r="D2140" s="15">
        <f>157.7387925-3</f>
        <v>154.73879249999999</v>
      </c>
    </row>
    <row r="2141" spans="1:4" x14ac:dyDescent="0.2">
      <c r="A2141" s="12">
        <v>1273</v>
      </c>
      <c r="B2141" s="13">
        <v>2</v>
      </c>
      <c r="C2141" s="14">
        <v>400</v>
      </c>
      <c r="D2141" s="15">
        <v>165.20850000000002</v>
      </c>
    </row>
    <row r="2142" spans="1:4" x14ac:dyDescent="0.2">
      <c r="A2142" s="12">
        <v>1274</v>
      </c>
      <c r="B2142" s="13">
        <v>1</v>
      </c>
      <c r="C2142" s="14">
        <v>400</v>
      </c>
      <c r="D2142" s="15">
        <f>158.7741975-10.5-56-10.5-38.5</f>
        <v>43.274197500000014</v>
      </c>
    </row>
    <row r="2143" spans="1:4" x14ac:dyDescent="0.2">
      <c r="A2143" s="12">
        <v>1274</v>
      </c>
      <c r="B2143" s="13">
        <v>2</v>
      </c>
      <c r="C2143" s="14">
        <v>250</v>
      </c>
      <c r="D2143" s="15">
        <f>90.60858-56</f>
        <v>34.608580000000003</v>
      </c>
    </row>
    <row r="2144" spans="1:4" x14ac:dyDescent="0.2">
      <c r="A2144" s="16">
        <v>1275</v>
      </c>
      <c r="B2144" s="13">
        <v>1</v>
      </c>
      <c r="C2144" s="17">
        <v>400</v>
      </c>
      <c r="D2144" s="15">
        <v>169.12824750000001</v>
      </c>
    </row>
    <row r="2145" spans="1:4" x14ac:dyDescent="0.2">
      <c r="A2145" s="16">
        <v>1275</v>
      </c>
      <c r="B2145" s="13">
        <v>2</v>
      </c>
      <c r="C2145" s="17">
        <v>400</v>
      </c>
      <c r="D2145" s="15">
        <f>173.5656975-10.5-10.5-10.5-10.5</f>
        <v>131.5656975</v>
      </c>
    </row>
    <row r="2146" spans="1:4" x14ac:dyDescent="0.2">
      <c r="A2146" s="16">
        <v>1276</v>
      </c>
      <c r="B2146" s="13">
        <v>1</v>
      </c>
      <c r="C2146" s="17">
        <v>400</v>
      </c>
      <c r="D2146" s="15">
        <v>160.62313499999999</v>
      </c>
    </row>
    <row r="2147" spans="1:4" x14ac:dyDescent="0.2">
      <c r="A2147" s="16">
        <v>1276</v>
      </c>
      <c r="B2147" s="13">
        <v>2</v>
      </c>
      <c r="C2147" s="17">
        <v>400</v>
      </c>
      <c r="D2147" s="15">
        <v>150.63887250000002</v>
      </c>
    </row>
    <row r="2148" spans="1:4" x14ac:dyDescent="0.2">
      <c r="A2148" s="16">
        <v>1277</v>
      </c>
      <c r="B2148" s="13">
        <v>1</v>
      </c>
      <c r="C2148" s="17">
        <v>400</v>
      </c>
      <c r="D2148" s="15">
        <v>145.97955000000002</v>
      </c>
    </row>
    <row r="2149" spans="1:4" x14ac:dyDescent="0.2">
      <c r="A2149" s="16">
        <v>1277</v>
      </c>
      <c r="B2149" s="13">
        <v>2</v>
      </c>
      <c r="C2149" s="17">
        <v>400</v>
      </c>
      <c r="D2149" s="15">
        <v>133.998435</v>
      </c>
    </row>
    <row r="2150" spans="1:4" x14ac:dyDescent="0.2">
      <c r="A2150" s="16">
        <v>1278</v>
      </c>
      <c r="B2150" s="13">
        <v>1</v>
      </c>
      <c r="C2150" s="17">
        <v>400</v>
      </c>
      <c r="D2150" s="15">
        <v>152.48781000000002</v>
      </c>
    </row>
    <row r="2151" spans="1:4" x14ac:dyDescent="0.2">
      <c r="A2151" s="16">
        <v>1278</v>
      </c>
      <c r="B2151" s="13">
        <v>2</v>
      </c>
      <c r="C2151" s="17">
        <v>400</v>
      </c>
      <c r="D2151" s="15">
        <v>165.28245750000002</v>
      </c>
    </row>
    <row r="2152" spans="1:4" x14ac:dyDescent="0.2">
      <c r="A2152" s="16">
        <v>1279</v>
      </c>
      <c r="B2152" s="13">
        <v>1</v>
      </c>
      <c r="C2152" s="17">
        <v>400</v>
      </c>
      <c r="D2152" s="15">
        <v>175.63650750000002</v>
      </c>
    </row>
    <row r="2153" spans="1:4" x14ac:dyDescent="0.2">
      <c r="A2153" s="16">
        <v>1279</v>
      </c>
      <c r="B2153" s="13">
        <v>2</v>
      </c>
      <c r="C2153" s="17">
        <v>400</v>
      </c>
      <c r="D2153" s="15">
        <v>150.56491500000001</v>
      </c>
    </row>
    <row r="2154" spans="1:4" x14ac:dyDescent="0.2">
      <c r="A2154" s="12">
        <v>1280</v>
      </c>
      <c r="B2154" s="13">
        <v>1</v>
      </c>
      <c r="C2154" s="14">
        <v>400</v>
      </c>
      <c r="D2154" s="15">
        <f>145.6097625-9-6</f>
        <v>130.60976249999999</v>
      </c>
    </row>
    <row r="2155" spans="1:4" x14ac:dyDescent="0.2">
      <c r="A2155" s="12">
        <v>1280</v>
      </c>
      <c r="B2155" s="13">
        <v>2</v>
      </c>
      <c r="C2155" s="14">
        <v>400</v>
      </c>
      <c r="D2155" s="15">
        <v>159.51377250000002</v>
      </c>
    </row>
    <row r="2156" spans="1:4" x14ac:dyDescent="0.2">
      <c r="A2156" s="12">
        <v>1281</v>
      </c>
      <c r="B2156" s="13">
        <v>1</v>
      </c>
      <c r="C2156" s="14">
        <v>400</v>
      </c>
      <c r="D2156" s="15">
        <f>140.7285675-8.25</f>
        <v>132.4785675</v>
      </c>
    </row>
    <row r="2157" spans="1:4" x14ac:dyDescent="0.2">
      <c r="A2157" s="21">
        <v>1281</v>
      </c>
      <c r="B2157" s="13">
        <v>2</v>
      </c>
      <c r="C2157" s="14">
        <v>630</v>
      </c>
      <c r="D2157" s="15">
        <f>263.97522-175</f>
        <v>88.975219999999979</v>
      </c>
    </row>
    <row r="2158" spans="1:4" x14ac:dyDescent="0.2">
      <c r="A2158" s="12">
        <v>1282</v>
      </c>
      <c r="B2158" s="13">
        <v>1</v>
      </c>
      <c r="C2158" s="14">
        <v>630</v>
      </c>
      <c r="D2158" s="15">
        <f>189.2041875-27.5-5.5-20.35-1.93</f>
        <v>133.92418749999999</v>
      </c>
    </row>
    <row r="2159" spans="1:4" x14ac:dyDescent="0.2">
      <c r="A2159" s="12">
        <v>1282</v>
      </c>
      <c r="B2159" s="13">
        <v>2</v>
      </c>
      <c r="C2159" s="14">
        <v>630</v>
      </c>
      <c r="D2159" s="15">
        <f>268.7085-8.25-16.5-177.43</f>
        <v>66.528500000000008</v>
      </c>
    </row>
    <row r="2160" spans="1:4" x14ac:dyDescent="0.2">
      <c r="A2160" s="12">
        <v>1283</v>
      </c>
      <c r="B2160" s="13">
        <v>1</v>
      </c>
      <c r="C2160" s="14">
        <v>400</v>
      </c>
      <c r="D2160" s="15">
        <f>152.931555-24.75</f>
        <v>128.181555</v>
      </c>
    </row>
    <row r="2161" spans="1:4" x14ac:dyDescent="0.2">
      <c r="A2161" s="12">
        <v>1283</v>
      </c>
      <c r="B2161" s="13">
        <v>2</v>
      </c>
      <c r="C2161" s="14">
        <v>400</v>
      </c>
      <c r="D2161" s="15">
        <f>157.5908775-16.5</f>
        <v>141.0908775</v>
      </c>
    </row>
    <row r="2162" spans="1:4" x14ac:dyDescent="0.2">
      <c r="A2162" s="12">
        <v>1284</v>
      </c>
      <c r="B2162" s="13">
        <v>1</v>
      </c>
      <c r="C2162" s="14">
        <v>250</v>
      </c>
      <c r="D2162" s="15">
        <f>170-18-38.5</f>
        <v>113.5</v>
      </c>
    </row>
    <row r="2163" spans="1:4" x14ac:dyDescent="0.2">
      <c r="A2163" s="12">
        <v>1284</v>
      </c>
      <c r="B2163" s="13">
        <v>2</v>
      </c>
      <c r="C2163" s="14">
        <v>250</v>
      </c>
      <c r="D2163" s="15">
        <f>166-15</f>
        <v>151</v>
      </c>
    </row>
    <row r="2164" spans="1:4" x14ac:dyDescent="0.2">
      <c r="A2164" s="12">
        <v>1285</v>
      </c>
      <c r="B2164" s="13">
        <v>1</v>
      </c>
      <c r="C2164" s="14">
        <v>630</v>
      </c>
      <c r="D2164" s="15">
        <f>215.95215-7.53-8.25-8.25-9</f>
        <v>182.92214999999999</v>
      </c>
    </row>
    <row r="2165" spans="1:4" x14ac:dyDescent="0.2">
      <c r="A2165" s="12">
        <v>1285</v>
      </c>
      <c r="B2165" s="13">
        <v>2</v>
      </c>
      <c r="C2165" s="14">
        <v>630</v>
      </c>
      <c r="D2165" s="15">
        <f>244.74627-3.6-8.25</f>
        <v>232.89627000000002</v>
      </c>
    </row>
    <row r="2166" spans="1:4" x14ac:dyDescent="0.2">
      <c r="A2166" s="12">
        <v>1286</v>
      </c>
      <c r="B2166" s="13">
        <v>1</v>
      </c>
      <c r="C2166" s="14">
        <v>400</v>
      </c>
      <c r="D2166" s="15">
        <f>119.65068-12-1.2</f>
        <v>106.45067999999999</v>
      </c>
    </row>
    <row r="2167" spans="1:4" x14ac:dyDescent="0.2">
      <c r="A2167" s="12">
        <v>1286</v>
      </c>
      <c r="B2167" s="13">
        <v>2</v>
      </c>
      <c r="C2167" s="14">
        <v>400</v>
      </c>
      <c r="D2167" s="15">
        <f>154.706535-9-6</f>
        <v>139.706535</v>
      </c>
    </row>
    <row r="2168" spans="1:4" x14ac:dyDescent="0.2">
      <c r="A2168" s="12">
        <v>1287</v>
      </c>
      <c r="B2168" s="13">
        <v>1</v>
      </c>
      <c r="C2168" s="14">
        <v>400</v>
      </c>
      <c r="D2168" s="15">
        <v>134.44218000000001</v>
      </c>
    </row>
    <row r="2169" spans="1:4" x14ac:dyDescent="0.2">
      <c r="A2169" s="12">
        <v>1287</v>
      </c>
      <c r="B2169" s="13">
        <v>2</v>
      </c>
      <c r="C2169" s="14">
        <v>400</v>
      </c>
      <c r="D2169" s="15">
        <v>148.86389249999999</v>
      </c>
    </row>
    <row r="2170" spans="1:4" x14ac:dyDescent="0.2">
      <c r="A2170" s="16">
        <v>1288</v>
      </c>
      <c r="B2170" s="13">
        <v>1</v>
      </c>
      <c r="C2170" s="17">
        <v>400</v>
      </c>
      <c r="D2170" s="15">
        <f>111.76188-6-9</f>
        <v>96.761880000000005</v>
      </c>
    </row>
    <row r="2171" spans="1:4" x14ac:dyDescent="0.2">
      <c r="A2171" s="16">
        <v>1288</v>
      </c>
      <c r="B2171" s="13">
        <v>2</v>
      </c>
      <c r="C2171" s="17">
        <v>400</v>
      </c>
      <c r="D2171" s="15">
        <v>148.74062999999998</v>
      </c>
    </row>
    <row r="2172" spans="1:4" x14ac:dyDescent="0.2">
      <c r="A2172" s="12">
        <v>1289</v>
      </c>
      <c r="B2172" s="13">
        <v>1</v>
      </c>
      <c r="C2172" s="14">
        <v>400</v>
      </c>
      <c r="D2172" s="15">
        <f>117.136125-1.6-35</f>
        <v>80.536125000000013</v>
      </c>
    </row>
    <row r="2173" spans="1:4" x14ac:dyDescent="0.2">
      <c r="A2173" s="12">
        <v>1289</v>
      </c>
      <c r="B2173" s="13">
        <v>2</v>
      </c>
      <c r="C2173" s="14">
        <v>400</v>
      </c>
      <c r="D2173" s="15">
        <f>147.0889125-10.5-3.5-7</f>
        <v>126.08891249999999</v>
      </c>
    </row>
    <row r="2174" spans="1:4" x14ac:dyDescent="0.2">
      <c r="A2174" s="16">
        <v>1290</v>
      </c>
      <c r="B2174" s="13">
        <v>1</v>
      </c>
      <c r="C2174" s="17">
        <v>250</v>
      </c>
      <c r="D2174" s="15">
        <v>115.42075999999999</v>
      </c>
    </row>
    <row r="2175" spans="1:4" x14ac:dyDescent="0.2">
      <c r="A2175" s="16">
        <v>1291</v>
      </c>
      <c r="B2175" s="13">
        <v>1</v>
      </c>
      <c r="C2175" s="17">
        <v>250</v>
      </c>
      <c r="D2175" s="15">
        <f>81.2159775-4.8</f>
        <v>76.415977499999997</v>
      </c>
    </row>
    <row r="2176" spans="1:4" x14ac:dyDescent="0.2">
      <c r="A2176" s="12">
        <v>1291</v>
      </c>
      <c r="B2176" s="13">
        <v>2</v>
      </c>
      <c r="C2176" s="14">
        <v>250</v>
      </c>
      <c r="D2176" s="15">
        <v>94.306455000000014</v>
      </c>
    </row>
    <row r="2177" spans="1:4" x14ac:dyDescent="0.2">
      <c r="A2177" s="12">
        <v>1292</v>
      </c>
      <c r="B2177" s="13">
        <v>1</v>
      </c>
      <c r="C2177" s="14">
        <v>250</v>
      </c>
      <c r="D2177" s="15">
        <f>93.86271-12.6-7</f>
        <v>74.262710000000013</v>
      </c>
    </row>
    <row r="2178" spans="1:4" x14ac:dyDescent="0.2">
      <c r="A2178" s="12">
        <v>1292</v>
      </c>
      <c r="B2178" s="13">
        <v>2</v>
      </c>
      <c r="C2178" s="14">
        <v>250</v>
      </c>
      <c r="D2178" s="15">
        <f>100.223055-10.5</f>
        <v>89.723055000000002</v>
      </c>
    </row>
    <row r="2179" spans="1:4" x14ac:dyDescent="0.2">
      <c r="A2179" s="12">
        <v>1293</v>
      </c>
      <c r="B2179" s="13">
        <v>1</v>
      </c>
      <c r="C2179" s="14">
        <v>400</v>
      </c>
      <c r="D2179" s="15">
        <f>172.01259-17.5</f>
        <v>154.51258999999999</v>
      </c>
    </row>
    <row r="2180" spans="1:4" x14ac:dyDescent="0.2">
      <c r="A2180" s="12">
        <v>1293</v>
      </c>
      <c r="B2180" s="13">
        <v>2</v>
      </c>
      <c r="C2180" s="14">
        <v>400</v>
      </c>
      <c r="D2180" s="15">
        <v>136.43903250000002</v>
      </c>
    </row>
    <row r="2181" spans="1:4" x14ac:dyDescent="0.2">
      <c r="A2181" s="12">
        <v>1294</v>
      </c>
      <c r="B2181" s="13">
        <v>1</v>
      </c>
      <c r="C2181" s="14">
        <v>400</v>
      </c>
      <c r="D2181" s="15">
        <f>159.53424-3-7.2-21.6-9.3-0.6-69</f>
        <v>48.834240000000037</v>
      </c>
    </row>
    <row r="2182" spans="1:4" x14ac:dyDescent="0.2">
      <c r="A2182" s="12">
        <v>1295</v>
      </c>
      <c r="B2182" s="13">
        <v>1</v>
      </c>
      <c r="C2182" s="14">
        <v>630</v>
      </c>
      <c r="D2182" s="15">
        <f>237.35052-16.5</f>
        <v>220.85051999999999</v>
      </c>
    </row>
    <row r="2183" spans="1:4" x14ac:dyDescent="0.2">
      <c r="A2183" s="12">
        <v>1295</v>
      </c>
      <c r="B2183" s="13">
        <v>2</v>
      </c>
      <c r="C2183" s="14">
        <v>630</v>
      </c>
      <c r="D2183" s="15">
        <f>251.74758-16.5</f>
        <v>235.24758</v>
      </c>
    </row>
    <row r="2184" spans="1:4" x14ac:dyDescent="0.2">
      <c r="A2184" s="12">
        <v>1296</v>
      </c>
      <c r="B2184" s="13">
        <v>1</v>
      </c>
      <c r="C2184" s="14">
        <v>400</v>
      </c>
      <c r="D2184" s="15">
        <v>143.02125000000001</v>
      </c>
    </row>
    <row r="2185" spans="1:4" x14ac:dyDescent="0.2">
      <c r="A2185" s="12">
        <v>1296</v>
      </c>
      <c r="B2185" s="13">
        <v>2</v>
      </c>
      <c r="C2185" s="14">
        <v>400</v>
      </c>
      <c r="D2185" s="15">
        <v>106.92999000000002</v>
      </c>
    </row>
    <row r="2186" spans="1:4" x14ac:dyDescent="0.2">
      <c r="A2186" s="12">
        <v>1297</v>
      </c>
      <c r="B2186" s="13">
        <v>1</v>
      </c>
      <c r="C2186" s="14">
        <v>630</v>
      </c>
      <c r="D2186" s="15">
        <f>211.169565-4.8-6-9-66-9-1.2</f>
        <v>115.16956499999999</v>
      </c>
    </row>
    <row r="2187" spans="1:4" x14ac:dyDescent="0.2">
      <c r="A2187" s="12">
        <v>1297</v>
      </c>
      <c r="B2187" s="13">
        <v>2</v>
      </c>
      <c r="C2187" s="14">
        <v>630</v>
      </c>
      <c r="D2187" s="15">
        <f>259.389855-5.7</f>
        <v>253.68985500000002</v>
      </c>
    </row>
    <row r="2188" spans="1:4" x14ac:dyDescent="0.2">
      <c r="A2188" s="12">
        <v>1298</v>
      </c>
      <c r="B2188" s="13">
        <v>1</v>
      </c>
      <c r="C2188" s="14">
        <v>400</v>
      </c>
      <c r="D2188" s="15">
        <v>0</v>
      </c>
    </row>
    <row r="2189" spans="1:4" x14ac:dyDescent="0.2">
      <c r="A2189" s="12">
        <v>1298</v>
      </c>
      <c r="B2189" s="13">
        <v>2</v>
      </c>
      <c r="C2189" s="14">
        <v>400</v>
      </c>
      <c r="D2189" s="15">
        <v>0</v>
      </c>
    </row>
    <row r="2190" spans="1:4" x14ac:dyDescent="0.2">
      <c r="A2190" s="27">
        <v>1299</v>
      </c>
      <c r="B2190" s="28">
        <v>1</v>
      </c>
      <c r="C2190" s="14">
        <v>250</v>
      </c>
      <c r="D2190" s="15">
        <v>81.881595000000004</v>
      </c>
    </row>
    <row r="2191" spans="1:4" x14ac:dyDescent="0.2">
      <c r="A2191" s="14">
        <v>1299</v>
      </c>
      <c r="B2191" s="29">
        <v>2</v>
      </c>
      <c r="C2191" s="14">
        <v>250</v>
      </c>
      <c r="D2191" s="15">
        <f>86.0971725-19.08</f>
        <v>67.017172500000001</v>
      </c>
    </row>
    <row r="2192" spans="1:4" x14ac:dyDescent="0.2">
      <c r="A2192" s="14">
        <v>1300</v>
      </c>
      <c r="B2192" s="29">
        <v>1</v>
      </c>
      <c r="C2192" s="14">
        <v>400</v>
      </c>
      <c r="D2192" s="15">
        <f>145.38789-28-10.5-10.5-4.2</f>
        <v>92.187889999999996</v>
      </c>
    </row>
    <row r="2193" spans="1:4" x14ac:dyDescent="0.2">
      <c r="A2193" s="14">
        <v>1300</v>
      </c>
      <c r="B2193" s="29">
        <v>2</v>
      </c>
      <c r="C2193" s="14">
        <v>400</v>
      </c>
      <c r="D2193" s="15">
        <v>119.72463750000001</v>
      </c>
    </row>
    <row r="2194" spans="1:4" x14ac:dyDescent="0.2">
      <c r="A2194" s="14">
        <v>1301</v>
      </c>
      <c r="B2194" s="29">
        <v>1</v>
      </c>
      <c r="C2194" s="14">
        <v>400</v>
      </c>
      <c r="D2194" s="15">
        <f>140.5806525-11-6-18</f>
        <v>105.58065250000001</v>
      </c>
    </row>
    <row r="2195" spans="1:4" x14ac:dyDescent="0.2">
      <c r="A2195" s="14">
        <v>1301</v>
      </c>
      <c r="B2195" s="29">
        <v>2</v>
      </c>
      <c r="C2195" s="14">
        <v>400</v>
      </c>
      <c r="D2195" s="15">
        <f>147.310785-22</f>
        <v>125.31078500000001</v>
      </c>
    </row>
    <row r="2196" spans="1:4" x14ac:dyDescent="0.2">
      <c r="A2196" s="14">
        <v>1302</v>
      </c>
      <c r="B2196" s="29">
        <v>1</v>
      </c>
      <c r="C2196" s="14">
        <v>630</v>
      </c>
      <c r="D2196" s="15">
        <f>246.0035475-15-6-9.9</f>
        <v>215.10354749999999</v>
      </c>
    </row>
    <row r="2197" spans="1:4" x14ac:dyDescent="0.2">
      <c r="A2197" s="14">
        <v>1302</v>
      </c>
      <c r="B2197" s="29">
        <v>2</v>
      </c>
      <c r="C2197" s="14">
        <v>630</v>
      </c>
      <c r="D2197" s="15">
        <f>203.33007-4.8-6</f>
        <v>192.53006999999999</v>
      </c>
    </row>
    <row r="2198" spans="1:4" x14ac:dyDescent="0.2">
      <c r="A2198" s="14">
        <v>1303</v>
      </c>
      <c r="B2198" s="29">
        <v>1</v>
      </c>
      <c r="C2198" s="14">
        <v>400</v>
      </c>
      <c r="D2198" s="15">
        <v>150.71283</v>
      </c>
    </row>
    <row r="2199" spans="1:4" x14ac:dyDescent="0.2">
      <c r="A2199" s="14">
        <v>1303</v>
      </c>
      <c r="B2199" s="29">
        <v>2</v>
      </c>
      <c r="C2199" s="14">
        <v>400</v>
      </c>
      <c r="D2199" s="15">
        <v>180</v>
      </c>
    </row>
    <row r="2200" spans="1:4" x14ac:dyDescent="0.2">
      <c r="A2200" s="17">
        <v>1304</v>
      </c>
      <c r="B2200" s="29">
        <v>1</v>
      </c>
      <c r="C2200" s="17">
        <v>250</v>
      </c>
      <c r="D2200" s="15">
        <v>112.5</v>
      </c>
    </row>
    <row r="2201" spans="1:4" x14ac:dyDescent="0.2">
      <c r="A2201" s="17">
        <v>1304</v>
      </c>
      <c r="B2201" s="29">
        <v>2</v>
      </c>
      <c r="C2201" s="17">
        <v>250</v>
      </c>
      <c r="D2201" s="15">
        <v>99.187650000000005</v>
      </c>
    </row>
    <row r="2202" spans="1:4" x14ac:dyDescent="0.2">
      <c r="A2202" s="17">
        <v>1305</v>
      </c>
      <c r="B2202" s="29">
        <v>1</v>
      </c>
      <c r="C2202" s="17">
        <v>250</v>
      </c>
      <c r="D2202" s="15">
        <f>98.59599-10.5</f>
        <v>88.09599</v>
      </c>
    </row>
    <row r="2203" spans="1:4" x14ac:dyDescent="0.2">
      <c r="A2203" s="17">
        <v>1305</v>
      </c>
      <c r="B2203" s="29">
        <v>2</v>
      </c>
      <c r="C2203" s="17">
        <v>250</v>
      </c>
      <c r="D2203" s="15">
        <v>79.145167499999999</v>
      </c>
    </row>
    <row r="2204" spans="1:4" x14ac:dyDescent="0.2">
      <c r="A2204" s="14">
        <v>1306</v>
      </c>
      <c r="B2204" s="29">
        <v>1</v>
      </c>
      <c r="C2204" s="14">
        <v>400</v>
      </c>
      <c r="D2204" s="15">
        <f>141.690015-6.6-9-9-0.6-0.16-36-0.6</f>
        <v>79.730015000000009</v>
      </c>
    </row>
    <row r="2205" spans="1:4" x14ac:dyDescent="0.2">
      <c r="A2205" s="14">
        <v>1306</v>
      </c>
      <c r="B2205" s="29">
        <v>2</v>
      </c>
      <c r="C2205" s="14">
        <v>400</v>
      </c>
      <c r="D2205" s="15">
        <f>143.8347825-9-28.2-9-4.8-6.6</f>
        <v>86.234782499999994</v>
      </c>
    </row>
    <row r="2206" spans="1:4" x14ac:dyDescent="0.2">
      <c r="A2206" s="14">
        <v>1307</v>
      </c>
      <c r="B2206" s="29">
        <v>1</v>
      </c>
      <c r="C2206" s="14">
        <v>250</v>
      </c>
      <c r="D2206" s="15">
        <v>150</v>
      </c>
    </row>
    <row r="2207" spans="1:4" x14ac:dyDescent="0.2">
      <c r="A2207" s="14">
        <v>1307</v>
      </c>
      <c r="B2207" s="29">
        <v>2</v>
      </c>
      <c r="C2207" s="14">
        <v>250</v>
      </c>
      <c r="D2207" s="15">
        <v>150</v>
      </c>
    </row>
    <row r="2208" spans="1:4" x14ac:dyDescent="0.2">
      <c r="A2208" s="14">
        <v>1308</v>
      </c>
      <c r="B2208" s="29">
        <v>1</v>
      </c>
      <c r="C2208" s="14">
        <v>400</v>
      </c>
      <c r="D2208" s="15">
        <v>143.90873999999999</v>
      </c>
    </row>
    <row r="2209" spans="1:4" x14ac:dyDescent="0.2">
      <c r="A2209" s="14">
        <v>1308</v>
      </c>
      <c r="B2209" s="29">
        <v>2</v>
      </c>
      <c r="C2209" s="14">
        <v>400</v>
      </c>
      <c r="D2209" s="15">
        <v>132.44532749999999</v>
      </c>
    </row>
    <row r="2210" spans="1:4" x14ac:dyDescent="0.2">
      <c r="A2210" s="14">
        <v>1309</v>
      </c>
      <c r="B2210" s="29">
        <v>1</v>
      </c>
      <c r="C2210" s="14">
        <v>400</v>
      </c>
      <c r="D2210" s="15">
        <f>159.2179425-21-1.4-0.49-10.5</f>
        <v>125.82794249999998</v>
      </c>
    </row>
    <row r="2211" spans="1:4" x14ac:dyDescent="0.2">
      <c r="A2211" s="14">
        <v>1309</v>
      </c>
      <c r="B2211" s="29">
        <v>2</v>
      </c>
      <c r="C2211" s="14">
        <v>400</v>
      </c>
      <c r="D2211" s="15">
        <f>165.7262025-35</f>
        <v>130.7262025</v>
      </c>
    </row>
    <row r="2212" spans="1:4" x14ac:dyDescent="0.2">
      <c r="A2212" s="17">
        <v>1310</v>
      </c>
      <c r="B2212" s="29">
        <v>1</v>
      </c>
      <c r="C2212" s="17">
        <v>400</v>
      </c>
      <c r="D2212" s="15">
        <f>129.11724-10.5-0.7-7.35</f>
        <v>110.56724000000001</v>
      </c>
    </row>
    <row r="2213" spans="1:4" x14ac:dyDescent="0.2">
      <c r="A2213" s="17">
        <v>1310</v>
      </c>
      <c r="B2213" s="29">
        <v>2</v>
      </c>
      <c r="C2213" s="17">
        <v>400</v>
      </c>
      <c r="D2213" s="15">
        <f>135.181755-34.3-10.5-4.2-7.35</f>
        <v>78.831755000000015</v>
      </c>
    </row>
    <row r="2214" spans="1:4" x14ac:dyDescent="0.2">
      <c r="A2214" s="17">
        <v>1311</v>
      </c>
      <c r="B2214" s="29">
        <v>1</v>
      </c>
      <c r="C2214" s="17">
        <v>400</v>
      </c>
      <c r="D2214" s="15">
        <v>0</v>
      </c>
    </row>
    <row r="2215" spans="1:4" x14ac:dyDescent="0.2">
      <c r="A2215" s="17">
        <v>1311</v>
      </c>
      <c r="B2215" s="29">
        <v>2</v>
      </c>
      <c r="C2215" s="17">
        <v>400</v>
      </c>
      <c r="D2215" s="15">
        <f>140.95044-16.1</f>
        <v>124.85043999999999</v>
      </c>
    </row>
    <row r="2216" spans="1:4" x14ac:dyDescent="0.2">
      <c r="A2216" s="14">
        <v>1312</v>
      </c>
      <c r="B2216" s="29">
        <v>1</v>
      </c>
      <c r="C2216" s="14">
        <v>250</v>
      </c>
      <c r="D2216" s="15">
        <f>99.58209-6</f>
        <v>93.582089999999994</v>
      </c>
    </row>
    <row r="2217" spans="1:4" x14ac:dyDescent="0.2">
      <c r="A2217" s="14">
        <v>1312</v>
      </c>
      <c r="B2217" s="29">
        <v>2</v>
      </c>
      <c r="C2217" s="14">
        <v>250</v>
      </c>
      <c r="D2217" s="15">
        <f>106.38618-7-9-13.2</f>
        <v>77.186179999999993</v>
      </c>
    </row>
    <row r="2218" spans="1:4" x14ac:dyDescent="0.2">
      <c r="A2218" s="14">
        <v>1313</v>
      </c>
      <c r="B2218" s="29">
        <v>1</v>
      </c>
      <c r="C2218" s="14">
        <v>400</v>
      </c>
      <c r="D2218" s="15">
        <v>151.67427749999999</v>
      </c>
    </row>
    <row r="2219" spans="1:4" x14ac:dyDescent="0.2">
      <c r="A2219" s="14">
        <v>1313</v>
      </c>
      <c r="B2219" s="29">
        <v>2</v>
      </c>
      <c r="C2219" s="14">
        <v>400</v>
      </c>
      <c r="D2219" s="15">
        <v>138.73171499999998</v>
      </c>
    </row>
    <row r="2220" spans="1:4" x14ac:dyDescent="0.2">
      <c r="A2220" s="14">
        <v>1314</v>
      </c>
      <c r="B2220" s="29">
        <v>1</v>
      </c>
      <c r="C2220" s="14">
        <v>400</v>
      </c>
      <c r="D2220" s="15">
        <f>179.40834-10.5-10.5-0.18-4.9-0.07</f>
        <v>153.25834</v>
      </c>
    </row>
    <row r="2221" spans="1:4" x14ac:dyDescent="0.2">
      <c r="A2221" s="14">
        <v>1314</v>
      </c>
      <c r="B2221" s="29">
        <v>2</v>
      </c>
      <c r="C2221" s="14">
        <v>400</v>
      </c>
      <c r="D2221" s="15">
        <f>155.3721525-35</f>
        <v>120.3721525</v>
      </c>
    </row>
    <row r="2222" spans="1:4" x14ac:dyDescent="0.2">
      <c r="A2222" s="14">
        <v>1315</v>
      </c>
      <c r="B2222" s="29">
        <v>1</v>
      </c>
      <c r="C2222" s="14">
        <v>400</v>
      </c>
      <c r="D2222" s="15">
        <f>162.75-6.3-3.6</f>
        <v>152.85</v>
      </c>
    </row>
    <row r="2223" spans="1:4" x14ac:dyDescent="0.2">
      <c r="A2223" s="14">
        <v>1315</v>
      </c>
      <c r="B2223" s="29">
        <v>2</v>
      </c>
      <c r="C2223" s="14">
        <v>400</v>
      </c>
      <c r="D2223" s="15">
        <f>151.75-8.25</f>
        <v>143.5</v>
      </c>
    </row>
    <row r="2224" spans="1:4" x14ac:dyDescent="0.2">
      <c r="A2224" s="14">
        <v>1316</v>
      </c>
      <c r="B2224" s="29">
        <v>1</v>
      </c>
      <c r="C2224" s="14">
        <v>400</v>
      </c>
      <c r="D2224" s="15">
        <v>0</v>
      </c>
    </row>
    <row r="2225" spans="1:4" x14ac:dyDescent="0.2">
      <c r="A2225" s="14">
        <v>1316</v>
      </c>
      <c r="B2225" s="29">
        <v>2</v>
      </c>
      <c r="C2225" s="14">
        <v>400</v>
      </c>
      <c r="D2225" s="15">
        <v>0</v>
      </c>
    </row>
    <row r="2226" spans="1:4" x14ac:dyDescent="0.2">
      <c r="A2226" s="17">
        <v>1317</v>
      </c>
      <c r="B2226" s="29">
        <v>1</v>
      </c>
      <c r="C2226" s="17">
        <v>400</v>
      </c>
      <c r="D2226" s="15">
        <v>170.23760999999999</v>
      </c>
    </row>
    <row r="2227" spans="1:4" x14ac:dyDescent="0.2">
      <c r="A2227" s="17">
        <v>1317</v>
      </c>
      <c r="B2227" s="29">
        <v>2</v>
      </c>
      <c r="C2227" s="17">
        <v>400</v>
      </c>
      <c r="D2227" s="15">
        <v>136.95673500000001</v>
      </c>
    </row>
    <row r="2228" spans="1:4" x14ac:dyDescent="0.2">
      <c r="A2228" s="14">
        <v>1318</v>
      </c>
      <c r="B2228" s="29">
        <v>1</v>
      </c>
      <c r="C2228" s="14">
        <v>400</v>
      </c>
      <c r="D2228" s="15">
        <f>142.3556325-51</f>
        <v>91.355632500000013</v>
      </c>
    </row>
    <row r="2229" spans="1:4" x14ac:dyDescent="0.2">
      <c r="A2229" s="14">
        <v>1318</v>
      </c>
      <c r="B2229" s="29">
        <v>2</v>
      </c>
      <c r="C2229" s="14">
        <v>400</v>
      </c>
      <c r="D2229" s="15">
        <f>127.63809-7-7-7.7-51-23.8</f>
        <v>31.138090000000002</v>
      </c>
    </row>
    <row r="2230" spans="1:4" x14ac:dyDescent="0.2">
      <c r="A2230" s="14">
        <v>1319</v>
      </c>
      <c r="B2230" s="29">
        <v>1</v>
      </c>
      <c r="C2230" s="14">
        <v>250</v>
      </c>
      <c r="D2230" s="15">
        <f>75.5952075-21-28</f>
        <v>26.595207500000001</v>
      </c>
    </row>
    <row r="2231" spans="1:4" x14ac:dyDescent="0.2">
      <c r="A2231" s="14">
        <v>1319</v>
      </c>
      <c r="B2231" s="29">
        <v>2</v>
      </c>
      <c r="C2231" s="14">
        <v>400</v>
      </c>
      <c r="D2231" s="15">
        <f>153.3753-31.5</f>
        <v>121.87530000000001</v>
      </c>
    </row>
    <row r="2232" spans="1:4" x14ac:dyDescent="0.2">
      <c r="A2232" s="14">
        <v>1320</v>
      </c>
      <c r="B2232" s="29">
        <v>1</v>
      </c>
      <c r="C2232" s="14">
        <v>400</v>
      </c>
      <c r="D2232" s="15">
        <f>160-60.78-2.75-5.5</f>
        <v>90.97</v>
      </c>
    </row>
    <row r="2233" spans="1:4" x14ac:dyDescent="0.2">
      <c r="A2233" s="14">
        <v>1320</v>
      </c>
      <c r="B2233" s="29">
        <v>2</v>
      </c>
      <c r="C2233" s="14">
        <v>400</v>
      </c>
      <c r="D2233" s="15">
        <f>180-60.78-2.75</f>
        <v>116.47</v>
      </c>
    </row>
    <row r="2234" spans="1:4" x14ac:dyDescent="0.2">
      <c r="A2234" s="14">
        <v>1321</v>
      </c>
      <c r="B2234" s="29">
        <v>1</v>
      </c>
      <c r="C2234" s="14">
        <v>400</v>
      </c>
      <c r="D2234" s="15">
        <v>147.65592000000001</v>
      </c>
    </row>
    <row r="2235" spans="1:4" x14ac:dyDescent="0.2">
      <c r="A2235" s="14">
        <v>1321</v>
      </c>
      <c r="B2235" s="29">
        <v>2</v>
      </c>
      <c r="C2235" s="14">
        <v>400</v>
      </c>
      <c r="D2235" s="15">
        <f>103.18281-4.9-3.5</f>
        <v>94.782809999999998</v>
      </c>
    </row>
    <row r="2236" spans="1:4" x14ac:dyDescent="0.2">
      <c r="A2236" s="14">
        <v>1322</v>
      </c>
      <c r="B2236" s="29">
        <v>1</v>
      </c>
      <c r="C2236" s="14">
        <v>400</v>
      </c>
      <c r="D2236" s="15">
        <v>140.35878000000002</v>
      </c>
    </row>
    <row r="2237" spans="1:4" x14ac:dyDescent="0.2">
      <c r="A2237" s="14">
        <v>1322</v>
      </c>
      <c r="B2237" s="29">
        <v>2</v>
      </c>
      <c r="C2237" s="14">
        <v>400</v>
      </c>
      <c r="D2237" s="15">
        <v>143.11985999999999</v>
      </c>
    </row>
    <row r="2238" spans="1:4" x14ac:dyDescent="0.2">
      <c r="A2238" s="14">
        <v>1323</v>
      </c>
      <c r="B2238" s="29">
        <v>1</v>
      </c>
      <c r="C2238" s="14">
        <v>630</v>
      </c>
      <c r="D2238" s="15">
        <v>277.38618000000002</v>
      </c>
    </row>
    <row r="2239" spans="1:4" x14ac:dyDescent="0.2">
      <c r="A2239" s="14">
        <v>1323</v>
      </c>
      <c r="B2239" s="29">
        <v>2</v>
      </c>
      <c r="C2239" s="14">
        <v>630</v>
      </c>
      <c r="D2239" s="15">
        <v>279.35838000000001</v>
      </c>
    </row>
    <row r="2240" spans="1:4" x14ac:dyDescent="0.2">
      <c r="A2240" s="14">
        <v>1324</v>
      </c>
      <c r="B2240" s="29">
        <v>1</v>
      </c>
      <c r="C2240" s="14">
        <v>630</v>
      </c>
      <c r="D2240" s="15">
        <f>209.04945-17.5</f>
        <v>191.54945000000001</v>
      </c>
    </row>
    <row r="2241" spans="1:4" x14ac:dyDescent="0.2">
      <c r="A2241" s="14">
        <v>1324</v>
      </c>
      <c r="B2241" s="29">
        <v>2</v>
      </c>
      <c r="C2241" s="14">
        <v>630</v>
      </c>
      <c r="D2241" s="15">
        <v>238.33662000000001</v>
      </c>
    </row>
    <row r="2242" spans="1:4" x14ac:dyDescent="0.2">
      <c r="A2242" s="14">
        <v>1325</v>
      </c>
      <c r="B2242" s="29">
        <v>1</v>
      </c>
      <c r="C2242" s="14">
        <v>400</v>
      </c>
      <c r="D2242" s="15">
        <f>143.11986-21.7</f>
        <v>121.41985999999999</v>
      </c>
    </row>
    <row r="2243" spans="1:4" x14ac:dyDescent="0.2">
      <c r="A2243" s="14">
        <v>1325</v>
      </c>
      <c r="B2243" s="29">
        <v>2</v>
      </c>
      <c r="C2243" s="14">
        <v>400</v>
      </c>
      <c r="D2243" s="15">
        <f>142.13376-21.7</f>
        <v>120.43375999999999</v>
      </c>
    </row>
    <row r="2244" spans="1:4" x14ac:dyDescent="0.2">
      <c r="A2244" s="14">
        <v>1326</v>
      </c>
      <c r="B2244" s="29">
        <v>1</v>
      </c>
      <c r="C2244" s="14">
        <v>630</v>
      </c>
      <c r="D2244" s="15">
        <v>220.29098999999999</v>
      </c>
    </row>
    <row r="2245" spans="1:4" x14ac:dyDescent="0.2">
      <c r="A2245" s="14">
        <v>1326</v>
      </c>
      <c r="B2245" s="29">
        <v>2</v>
      </c>
      <c r="C2245" s="14">
        <v>630</v>
      </c>
      <c r="D2245" s="15">
        <f>211.02165-21</f>
        <v>190.02164999999999</v>
      </c>
    </row>
    <row r="2246" spans="1:4" x14ac:dyDescent="0.2">
      <c r="A2246" s="14">
        <v>1327</v>
      </c>
      <c r="B2246" s="29">
        <v>1</v>
      </c>
      <c r="C2246" s="14">
        <v>400</v>
      </c>
      <c r="D2246" s="15">
        <v>101.60504999999999</v>
      </c>
    </row>
    <row r="2247" spans="1:4" x14ac:dyDescent="0.2">
      <c r="A2247" s="14">
        <v>1327</v>
      </c>
      <c r="B2247" s="29">
        <v>2</v>
      </c>
      <c r="C2247" s="14">
        <v>400</v>
      </c>
      <c r="D2247" s="15">
        <v>133.85052000000002</v>
      </c>
    </row>
    <row r="2248" spans="1:4" x14ac:dyDescent="0.2">
      <c r="A2248" s="14">
        <v>1328</v>
      </c>
      <c r="B2248" s="29">
        <v>1</v>
      </c>
      <c r="C2248" s="14">
        <v>400</v>
      </c>
      <c r="D2248" s="15">
        <v>149.13507000000001</v>
      </c>
    </row>
    <row r="2249" spans="1:4" x14ac:dyDescent="0.2">
      <c r="A2249" s="14">
        <v>1328</v>
      </c>
      <c r="B2249" s="29">
        <v>2</v>
      </c>
      <c r="C2249" s="14">
        <v>400</v>
      </c>
      <c r="D2249" s="15">
        <f>144.20457-10.5</f>
        <v>133.70456999999999</v>
      </c>
    </row>
    <row r="2250" spans="1:4" x14ac:dyDescent="0.2">
      <c r="A2250" s="14">
        <v>1329</v>
      </c>
      <c r="B2250" s="29">
        <v>1</v>
      </c>
      <c r="C2250" s="14">
        <v>630</v>
      </c>
      <c r="D2250" s="15">
        <f>161.42082-9.59-2.1-10.5-3.5</f>
        <v>135.73081999999999</v>
      </c>
    </row>
    <row r="2251" spans="1:4" x14ac:dyDescent="0.2">
      <c r="A2251" s="14">
        <v>1329</v>
      </c>
      <c r="B2251" s="29">
        <v>2</v>
      </c>
      <c r="C2251" s="14">
        <v>630</v>
      </c>
      <c r="D2251" s="15">
        <f>251.35314-3.5-52.5</f>
        <v>195.35314</v>
      </c>
    </row>
    <row r="2252" spans="1:4" x14ac:dyDescent="0.2">
      <c r="A2252" s="14">
        <v>1330</v>
      </c>
      <c r="B2252" s="29">
        <v>1</v>
      </c>
      <c r="C2252" s="14">
        <v>400</v>
      </c>
      <c r="D2252" s="15">
        <f>135.42828-28.14</f>
        <v>107.28828</v>
      </c>
    </row>
    <row r="2253" spans="1:4" x14ac:dyDescent="0.2">
      <c r="A2253" s="14">
        <v>1330</v>
      </c>
      <c r="B2253" s="29">
        <v>2</v>
      </c>
      <c r="C2253" s="14">
        <v>400</v>
      </c>
      <c r="D2253" s="15">
        <f>105.15501-4.2</f>
        <v>100.95501</v>
      </c>
    </row>
    <row r="2254" spans="1:4" x14ac:dyDescent="0.2">
      <c r="A2254" s="14">
        <v>1331</v>
      </c>
      <c r="B2254" s="29">
        <v>1</v>
      </c>
      <c r="C2254" s="14">
        <v>400</v>
      </c>
      <c r="D2254" s="15">
        <f>158.70024-8.26</f>
        <v>150.44024000000002</v>
      </c>
    </row>
    <row r="2255" spans="1:4" x14ac:dyDescent="0.2">
      <c r="A2255" s="14">
        <v>1331</v>
      </c>
      <c r="B2255" s="29">
        <v>2</v>
      </c>
      <c r="C2255" s="14">
        <v>400</v>
      </c>
      <c r="D2255" s="15">
        <f>139.07685-39.2</f>
        <v>99.876850000000005</v>
      </c>
    </row>
    <row r="2256" spans="1:4" x14ac:dyDescent="0.2">
      <c r="A2256" s="23">
        <v>1332</v>
      </c>
      <c r="B2256" s="39">
        <v>1</v>
      </c>
      <c r="C2256" s="23">
        <v>250</v>
      </c>
      <c r="D2256" s="15">
        <f>95.1199875-4.9</f>
        <v>90.219987499999988</v>
      </c>
    </row>
    <row r="2257" spans="1:4" x14ac:dyDescent="0.2">
      <c r="A2257" s="23">
        <v>1332</v>
      </c>
      <c r="B2257" s="39">
        <v>2</v>
      </c>
      <c r="C2257" s="23">
        <v>250</v>
      </c>
      <c r="D2257" s="15">
        <f>97.7824575-6</f>
        <v>91.782457500000007</v>
      </c>
    </row>
    <row r="2258" spans="1:4" x14ac:dyDescent="0.2">
      <c r="A2258" s="14">
        <v>1333</v>
      </c>
      <c r="B2258" s="29">
        <v>1</v>
      </c>
      <c r="C2258" s="14">
        <v>400</v>
      </c>
      <c r="D2258" s="15">
        <f>148.34619-7</f>
        <v>141.34619000000001</v>
      </c>
    </row>
    <row r="2259" spans="1:4" x14ac:dyDescent="0.2">
      <c r="A2259" s="14">
        <v>1333</v>
      </c>
      <c r="B2259" s="29">
        <v>2</v>
      </c>
      <c r="C2259" s="14">
        <v>250</v>
      </c>
      <c r="D2259" s="15">
        <f>107.322975-9</f>
        <v>98.322975</v>
      </c>
    </row>
    <row r="2260" spans="1:4" x14ac:dyDescent="0.2">
      <c r="A2260" s="14">
        <v>1334</v>
      </c>
      <c r="B2260" s="29">
        <v>1</v>
      </c>
      <c r="C2260" s="14">
        <v>250</v>
      </c>
      <c r="D2260" s="15">
        <v>102.27275999999999</v>
      </c>
    </row>
    <row r="2261" spans="1:4" x14ac:dyDescent="0.2">
      <c r="A2261" s="14">
        <v>1335</v>
      </c>
      <c r="B2261" s="29">
        <v>1</v>
      </c>
      <c r="C2261" s="14">
        <v>400</v>
      </c>
      <c r="D2261" s="15">
        <f>163.72935-5.5</f>
        <v>158.22935000000001</v>
      </c>
    </row>
    <row r="2262" spans="1:4" x14ac:dyDescent="0.2">
      <c r="A2262" s="14">
        <v>1335</v>
      </c>
      <c r="B2262" s="29">
        <v>2</v>
      </c>
      <c r="C2262" s="14">
        <v>400</v>
      </c>
      <c r="D2262" s="15">
        <v>180</v>
      </c>
    </row>
    <row r="2263" spans="1:4" x14ac:dyDescent="0.2">
      <c r="A2263" s="14">
        <v>1336</v>
      </c>
      <c r="B2263" s="29">
        <v>1</v>
      </c>
      <c r="C2263" s="14">
        <v>400</v>
      </c>
      <c r="D2263" s="15">
        <v>138.06609750000001</v>
      </c>
    </row>
    <row r="2264" spans="1:4" x14ac:dyDescent="0.2">
      <c r="A2264" s="14">
        <v>1336</v>
      </c>
      <c r="B2264" s="29">
        <v>2</v>
      </c>
      <c r="C2264" s="14">
        <v>400</v>
      </c>
      <c r="D2264" s="15">
        <f>168.0928425-11</f>
        <v>157.09284249999999</v>
      </c>
    </row>
    <row r="2265" spans="1:4" x14ac:dyDescent="0.2">
      <c r="A2265" s="14">
        <v>1337</v>
      </c>
      <c r="B2265" s="29">
        <v>1</v>
      </c>
      <c r="C2265" s="14">
        <v>400</v>
      </c>
      <c r="D2265" s="15">
        <v>152.33989500000001</v>
      </c>
    </row>
    <row r="2266" spans="1:4" x14ac:dyDescent="0.2">
      <c r="A2266" s="14">
        <v>1337</v>
      </c>
      <c r="B2266" s="29">
        <v>2</v>
      </c>
      <c r="C2266" s="14">
        <v>400</v>
      </c>
      <c r="D2266" s="15">
        <v>143.39103750000001</v>
      </c>
    </row>
    <row r="2267" spans="1:4" x14ac:dyDescent="0.2">
      <c r="A2267" s="14">
        <v>1338</v>
      </c>
      <c r="B2267" s="29">
        <v>1</v>
      </c>
      <c r="C2267" s="14">
        <v>250</v>
      </c>
      <c r="D2267" s="15">
        <v>96.821010000000001</v>
      </c>
    </row>
    <row r="2268" spans="1:4" x14ac:dyDescent="0.2">
      <c r="A2268" s="14">
        <v>1338</v>
      </c>
      <c r="B2268" s="29">
        <v>2</v>
      </c>
      <c r="C2268" s="14">
        <v>250</v>
      </c>
      <c r="D2268" s="15">
        <f>90.164835-12</f>
        <v>78.164834999999997</v>
      </c>
    </row>
    <row r="2269" spans="1:4" x14ac:dyDescent="0.2">
      <c r="A2269" s="14">
        <v>1339</v>
      </c>
      <c r="B2269" s="29">
        <v>1</v>
      </c>
      <c r="C2269" s="14">
        <v>400</v>
      </c>
      <c r="D2269" s="15">
        <v>172.60425000000001</v>
      </c>
    </row>
    <row r="2270" spans="1:4" x14ac:dyDescent="0.2">
      <c r="A2270" s="14">
        <v>1339</v>
      </c>
      <c r="B2270" s="29">
        <v>2</v>
      </c>
      <c r="C2270" s="14">
        <v>400</v>
      </c>
      <c r="D2270" s="15">
        <f>122.8062-1.8</f>
        <v>121.00620000000001</v>
      </c>
    </row>
    <row r="2271" spans="1:4" x14ac:dyDescent="0.2">
      <c r="A2271" s="14">
        <v>1340</v>
      </c>
      <c r="B2271" s="29">
        <v>1</v>
      </c>
      <c r="C2271" s="14">
        <v>250</v>
      </c>
      <c r="D2271" s="15">
        <f>74.781675-9.59-2.1</f>
        <v>63.091675000000002</v>
      </c>
    </row>
    <row r="2272" spans="1:4" x14ac:dyDescent="0.2">
      <c r="A2272" s="14">
        <v>1340</v>
      </c>
      <c r="B2272" s="29">
        <v>2</v>
      </c>
      <c r="C2272" s="14">
        <v>250</v>
      </c>
      <c r="D2272" s="15">
        <f>88.389855-10.5-10.5</f>
        <v>67.389854999999997</v>
      </c>
    </row>
    <row r="2273" spans="1:4" x14ac:dyDescent="0.2">
      <c r="A2273" s="14">
        <v>1341</v>
      </c>
      <c r="B2273" s="29">
        <v>1</v>
      </c>
      <c r="C2273" s="14">
        <v>400</v>
      </c>
      <c r="D2273" s="15">
        <v>158.03462249999998</v>
      </c>
    </row>
    <row r="2274" spans="1:4" x14ac:dyDescent="0.2">
      <c r="A2274" s="14">
        <v>1341</v>
      </c>
      <c r="B2274" s="29">
        <v>2</v>
      </c>
      <c r="C2274" s="14">
        <v>250</v>
      </c>
      <c r="D2274" s="15">
        <v>91.496070000000003</v>
      </c>
    </row>
    <row r="2275" spans="1:4" x14ac:dyDescent="0.2">
      <c r="A2275" s="14">
        <v>1342</v>
      </c>
      <c r="B2275" s="29">
        <v>1</v>
      </c>
      <c r="C2275" s="14">
        <v>250</v>
      </c>
      <c r="D2275" s="15">
        <f>86.023215-7-5.5</f>
        <v>73.523214999999993</v>
      </c>
    </row>
    <row r="2276" spans="1:4" x14ac:dyDescent="0.2">
      <c r="A2276" s="14">
        <v>1342</v>
      </c>
      <c r="B2276" s="29">
        <v>2</v>
      </c>
      <c r="C2276" s="14">
        <v>250</v>
      </c>
      <c r="D2276" s="14">
        <v>113</v>
      </c>
    </row>
    <row r="2277" spans="1:4" x14ac:dyDescent="0.2">
      <c r="A2277" s="14">
        <v>1343</v>
      </c>
      <c r="B2277" s="29">
        <v>1</v>
      </c>
      <c r="C2277" s="14">
        <v>400</v>
      </c>
      <c r="D2277" s="15">
        <f>141.1723125-6.33-6.33-34.1-8.25-2.47</f>
        <v>83.692312499999986</v>
      </c>
    </row>
    <row r="2278" spans="1:4" x14ac:dyDescent="0.2">
      <c r="A2278" s="14">
        <v>1343</v>
      </c>
      <c r="B2278" s="29">
        <v>2</v>
      </c>
      <c r="C2278" s="14">
        <v>400</v>
      </c>
      <c r="D2278" s="15">
        <f>153.8930025-34.1-8.25-2.47</f>
        <v>109.0730025</v>
      </c>
    </row>
    <row r="2279" spans="1:4" x14ac:dyDescent="0.2">
      <c r="A2279" s="14">
        <v>1344</v>
      </c>
      <c r="B2279" s="29">
        <v>1</v>
      </c>
      <c r="C2279" s="14">
        <v>250</v>
      </c>
      <c r="D2279" s="15">
        <f>110.2073175-0.6</f>
        <v>109.60731750000001</v>
      </c>
    </row>
    <row r="2280" spans="1:4" x14ac:dyDescent="0.2">
      <c r="A2280" s="14">
        <v>1344</v>
      </c>
      <c r="B2280" s="29">
        <v>2</v>
      </c>
      <c r="C2280" s="14">
        <v>250</v>
      </c>
      <c r="D2280" s="15">
        <f>97.0428825-9</f>
        <v>88.042882500000005</v>
      </c>
    </row>
    <row r="2281" spans="1:4" x14ac:dyDescent="0.2">
      <c r="A2281" s="14">
        <v>1345</v>
      </c>
      <c r="B2281" s="29">
        <v>1</v>
      </c>
      <c r="C2281" s="14">
        <v>250</v>
      </c>
      <c r="D2281" s="15">
        <f>102.3678225-3.5</f>
        <v>98.867822500000003</v>
      </c>
    </row>
    <row r="2282" spans="1:4" x14ac:dyDescent="0.2">
      <c r="A2282" s="14">
        <v>1345</v>
      </c>
      <c r="B2282" s="29">
        <v>2</v>
      </c>
      <c r="C2282" s="14">
        <v>400</v>
      </c>
      <c r="D2282" s="15">
        <v>158.33045250000001</v>
      </c>
    </row>
    <row r="2283" spans="1:4" x14ac:dyDescent="0.2">
      <c r="A2283" s="14">
        <v>1346</v>
      </c>
      <c r="B2283" s="29">
        <v>1</v>
      </c>
      <c r="C2283" s="14">
        <v>250</v>
      </c>
      <c r="D2283" s="15">
        <v>73.74627000000001</v>
      </c>
    </row>
    <row r="2284" spans="1:4" x14ac:dyDescent="0.2">
      <c r="A2284" s="14">
        <v>1346</v>
      </c>
      <c r="B2284" s="29">
        <v>2</v>
      </c>
      <c r="C2284" s="14">
        <v>400</v>
      </c>
      <c r="D2284" s="15">
        <v>160.99292249999999</v>
      </c>
    </row>
    <row r="2285" spans="1:4" x14ac:dyDescent="0.2">
      <c r="A2285" s="14">
        <v>1347</v>
      </c>
      <c r="B2285" s="29">
        <v>1</v>
      </c>
      <c r="C2285" s="14">
        <v>400</v>
      </c>
      <c r="D2285" s="15">
        <f>137.0306925-21</f>
        <v>116.03069249999999</v>
      </c>
    </row>
    <row r="2286" spans="1:4" x14ac:dyDescent="0.2">
      <c r="A2286" s="14">
        <v>1347</v>
      </c>
      <c r="B2286" s="29">
        <v>2</v>
      </c>
      <c r="C2286" s="14">
        <v>400</v>
      </c>
      <c r="D2286" s="15">
        <v>151.452405</v>
      </c>
    </row>
    <row r="2287" spans="1:4" x14ac:dyDescent="0.2">
      <c r="A2287" s="14">
        <v>1348</v>
      </c>
      <c r="B2287" s="29">
        <v>1</v>
      </c>
      <c r="C2287" s="14">
        <v>250</v>
      </c>
      <c r="D2287" s="15">
        <f>112.4260425-8.4</f>
        <v>104.02604249999999</v>
      </c>
    </row>
    <row r="2288" spans="1:4" x14ac:dyDescent="0.2">
      <c r="A2288" s="14">
        <v>1348</v>
      </c>
      <c r="B2288" s="29">
        <v>2</v>
      </c>
      <c r="C2288" s="14">
        <v>250</v>
      </c>
      <c r="D2288" s="15">
        <v>106.5834</v>
      </c>
    </row>
    <row r="2289" spans="1:4" x14ac:dyDescent="0.2">
      <c r="A2289" s="14">
        <v>1349</v>
      </c>
      <c r="B2289" s="29">
        <v>1</v>
      </c>
      <c r="C2289" s="14">
        <v>250</v>
      </c>
      <c r="D2289" s="15">
        <v>102.8115675</v>
      </c>
    </row>
    <row r="2290" spans="1:4" x14ac:dyDescent="0.2">
      <c r="A2290" s="14">
        <v>1349</v>
      </c>
      <c r="B2290" s="29">
        <v>2</v>
      </c>
      <c r="C2290" s="14">
        <v>250</v>
      </c>
      <c r="D2290" s="15">
        <v>97.412670000000006</v>
      </c>
    </row>
    <row r="2291" spans="1:4" x14ac:dyDescent="0.2">
      <c r="A2291" s="14">
        <v>1350</v>
      </c>
      <c r="B2291" s="29">
        <v>1</v>
      </c>
      <c r="C2291" s="14">
        <v>160</v>
      </c>
      <c r="D2291" s="15">
        <f>68.12624-2.1-10.29-14-29.4-7.35</f>
        <v>4.986240000000004</v>
      </c>
    </row>
    <row r="2292" spans="1:4" x14ac:dyDescent="0.2">
      <c r="A2292" s="14">
        <v>1351</v>
      </c>
      <c r="B2292" s="29">
        <v>1</v>
      </c>
      <c r="C2292" s="14">
        <v>400</v>
      </c>
      <c r="D2292" s="15">
        <f>144.10596-0.63-3.5-35</f>
        <v>104.97596000000001</v>
      </c>
    </row>
    <row r="2293" spans="1:4" x14ac:dyDescent="0.2">
      <c r="A2293" s="14">
        <v>1351</v>
      </c>
      <c r="B2293" s="29">
        <v>2</v>
      </c>
      <c r="C2293" s="14">
        <v>400</v>
      </c>
      <c r="D2293" s="15">
        <f>180-10.5-10.5-10.5-10.5-7-10.5-21-10.5</f>
        <v>89</v>
      </c>
    </row>
    <row r="2294" spans="1:4" x14ac:dyDescent="0.2">
      <c r="A2294" s="14">
        <v>1352</v>
      </c>
      <c r="B2294" s="29">
        <v>1</v>
      </c>
      <c r="C2294" s="14">
        <v>400</v>
      </c>
      <c r="D2294" s="15">
        <f>168-78.6-3.6-9-10.5-51</f>
        <v>15.300000000000011</v>
      </c>
    </row>
    <row r="2295" spans="1:4" x14ac:dyDescent="0.2">
      <c r="A2295" s="14">
        <v>1352</v>
      </c>
      <c r="B2295" s="29">
        <v>2</v>
      </c>
      <c r="C2295" s="14">
        <v>400</v>
      </c>
      <c r="D2295" s="15">
        <f>154-23.1-78.6</f>
        <v>52.300000000000011</v>
      </c>
    </row>
    <row r="2296" spans="1:4" x14ac:dyDescent="0.2">
      <c r="A2296" s="14">
        <v>1353</v>
      </c>
      <c r="B2296" s="29">
        <v>1</v>
      </c>
      <c r="C2296" s="14">
        <v>400</v>
      </c>
      <c r="D2296" s="15">
        <f>197.9264-8.25-7.87-8.25-8.25</f>
        <v>165.3064</v>
      </c>
    </row>
    <row r="2297" spans="1:4" x14ac:dyDescent="0.2">
      <c r="A2297" s="14">
        <v>1354</v>
      </c>
      <c r="B2297" s="29">
        <v>1</v>
      </c>
      <c r="C2297" s="14">
        <v>400</v>
      </c>
      <c r="D2297" s="15">
        <v>152.58642</v>
      </c>
    </row>
    <row r="2298" spans="1:4" x14ac:dyDescent="0.2">
      <c r="A2298" s="14">
        <v>1354</v>
      </c>
      <c r="B2298" s="29">
        <v>2</v>
      </c>
      <c r="C2298" s="14">
        <v>400</v>
      </c>
      <c r="D2298" s="15">
        <f>179.60556-30</f>
        <v>149.60556</v>
      </c>
    </row>
    <row r="2299" spans="1:4" x14ac:dyDescent="0.2">
      <c r="A2299" s="14">
        <v>1355</v>
      </c>
      <c r="B2299" s="29">
        <v>1</v>
      </c>
      <c r="C2299" s="14">
        <v>250</v>
      </c>
      <c r="D2299" s="15">
        <f>79.8847425-30.8</f>
        <v>49.084742500000004</v>
      </c>
    </row>
    <row r="2300" spans="1:4" x14ac:dyDescent="0.2">
      <c r="A2300" s="14">
        <v>1355</v>
      </c>
      <c r="B2300" s="29">
        <v>2</v>
      </c>
      <c r="C2300" s="14">
        <v>250</v>
      </c>
      <c r="D2300" s="15">
        <f>92.97522-42</f>
        <v>50.975219999999993</v>
      </c>
    </row>
    <row r="2301" spans="1:4" x14ac:dyDescent="0.2">
      <c r="A2301" s="14">
        <v>1356</v>
      </c>
      <c r="B2301" s="29">
        <v>2</v>
      </c>
      <c r="C2301" s="14">
        <v>400</v>
      </c>
      <c r="D2301" s="15">
        <f>120.0204675-21-1.12</f>
        <v>97.900467499999991</v>
      </c>
    </row>
    <row r="2302" spans="1:4" x14ac:dyDescent="0.2">
      <c r="A2302" s="14">
        <v>1356</v>
      </c>
      <c r="B2302" s="29">
        <v>1</v>
      </c>
      <c r="C2302" s="14">
        <v>400</v>
      </c>
      <c r="D2302" s="15">
        <f>192.37137-56</f>
        <v>136.37137000000001</v>
      </c>
    </row>
    <row r="2303" spans="1:4" x14ac:dyDescent="0.2">
      <c r="A2303" s="14">
        <v>1357</v>
      </c>
      <c r="B2303" s="29">
        <v>1</v>
      </c>
      <c r="C2303" s="14">
        <v>400</v>
      </c>
      <c r="D2303" s="15">
        <v>157.1471325</v>
      </c>
    </row>
    <row r="2304" spans="1:4" x14ac:dyDescent="0.2">
      <c r="A2304" s="14">
        <v>1357</v>
      </c>
      <c r="B2304" s="29">
        <v>2</v>
      </c>
      <c r="C2304" s="14">
        <v>400</v>
      </c>
      <c r="D2304" s="15">
        <v>140.7285675</v>
      </c>
    </row>
    <row r="2305" spans="1:4" x14ac:dyDescent="0.2">
      <c r="A2305" s="14">
        <v>1358</v>
      </c>
      <c r="B2305" s="29">
        <v>1</v>
      </c>
      <c r="C2305" s="14">
        <v>400</v>
      </c>
      <c r="D2305" s="15">
        <f>160.1259-10.5-16.8-19.5-10.5-10.5-10.5-10.5-10.5-10.5-10.5-5.6-10.5-2.1-10.5</f>
        <v>11.125899999999987</v>
      </c>
    </row>
    <row r="2306" spans="1:4" x14ac:dyDescent="0.2">
      <c r="A2306" s="14">
        <v>1359</v>
      </c>
      <c r="B2306" s="29">
        <v>1</v>
      </c>
      <c r="C2306" s="14">
        <v>250</v>
      </c>
      <c r="D2306" s="15">
        <f>112.5-52.5</f>
        <v>60</v>
      </c>
    </row>
    <row r="2307" spans="1:4" x14ac:dyDescent="0.2">
      <c r="A2307" s="14">
        <v>1359</v>
      </c>
      <c r="B2307" s="29">
        <v>2</v>
      </c>
      <c r="C2307" s="14">
        <v>250</v>
      </c>
      <c r="D2307" s="15">
        <f>112.5-52.5</f>
        <v>60</v>
      </c>
    </row>
    <row r="2308" spans="1:4" x14ac:dyDescent="0.2">
      <c r="A2308" s="14">
        <v>1360</v>
      </c>
      <c r="B2308" s="29">
        <v>1</v>
      </c>
      <c r="C2308" s="14">
        <v>400</v>
      </c>
      <c r="D2308" s="15">
        <f>117-9-9-6-1.8-3-3-24</f>
        <v>61.2</v>
      </c>
    </row>
    <row r="2309" spans="1:4" x14ac:dyDescent="0.2">
      <c r="A2309" s="14">
        <v>1360</v>
      </c>
      <c r="B2309" s="29">
        <v>2</v>
      </c>
      <c r="C2309" s="14">
        <v>400</v>
      </c>
      <c r="D2309" s="15">
        <f>145.0181025-24</f>
        <v>121.0181025</v>
      </c>
    </row>
    <row r="2310" spans="1:4" x14ac:dyDescent="0.2">
      <c r="A2310" s="14">
        <v>1361</v>
      </c>
      <c r="B2310" s="29">
        <v>1</v>
      </c>
      <c r="C2310" s="14">
        <v>400</v>
      </c>
      <c r="D2310" s="15">
        <f>160.67244-0.11-4.2-54.6</f>
        <v>101.76244</v>
      </c>
    </row>
    <row r="2311" spans="1:4" x14ac:dyDescent="0.2">
      <c r="A2311" s="14">
        <v>1361</v>
      </c>
      <c r="B2311" s="29">
        <v>2</v>
      </c>
      <c r="C2311" s="14">
        <v>400</v>
      </c>
      <c r="D2311" s="15">
        <v>141.64071000000001</v>
      </c>
    </row>
    <row r="2312" spans="1:4" x14ac:dyDescent="0.2">
      <c r="A2312" s="14">
        <v>1362</v>
      </c>
      <c r="B2312" s="29">
        <v>1</v>
      </c>
      <c r="C2312" s="14">
        <v>250</v>
      </c>
      <c r="D2312" s="15">
        <v>103.85052</v>
      </c>
    </row>
    <row r="2313" spans="1:4" x14ac:dyDescent="0.2">
      <c r="A2313" s="14">
        <v>1363</v>
      </c>
      <c r="B2313" s="29">
        <v>1</v>
      </c>
      <c r="C2313" s="14">
        <v>400</v>
      </c>
      <c r="D2313" s="15">
        <v>164.32101</v>
      </c>
    </row>
    <row r="2314" spans="1:4" x14ac:dyDescent="0.2">
      <c r="A2314" s="14">
        <v>1363</v>
      </c>
      <c r="B2314" s="29">
        <v>2</v>
      </c>
      <c r="C2314" s="14">
        <v>400</v>
      </c>
      <c r="D2314" s="15">
        <f>180-9</f>
        <v>171</v>
      </c>
    </row>
    <row r="2315" spans="1:4" x14ac:dyDescent="0.2">
      <c r="A2315" s="14">
        <v>1364</v>
      </c>
      <c r="B2315" s="29">
        <v>1</v>
      </c>
      <c r="C2315" s="14">
        <v>630</v>
      </c>
      <c r="D2315" s="15">
        <f>235.723455-10.5</f>
        <v>225.223455</v>
      </c>
    </row>
    <row r="2316" spans="1:4" x14ac:dyDescent="0.2">
      <c r="A2316" s="14">
        <v>1364</v>
      </c>
      <c r="B2316" s="29">
        <v>2</v>
      </c>
      <c r="C2316" s="14">
        <v>630</v>
      </c>
      <c r="D2316" s="15">
        <v>261.46066500000001</v>
      </c>
    </row>
    <row r="2317" spans="1:4" x14ac:dyDescent="0.2">
      <c r="A2317" s="17">
        <v>1365</v>
      </c>
      <c r="B2317" s="29">
        <v>1</v>
      </c>
      <c r="C2317" s="17">
        <v>630</v>
      </c>
      <c r="D2317" s="15">
        <f>206.5102425-6.9-21.3-9-6-9.6</f>
        <v>153.71024249999999</v>
      </c>
    </row>
    <row r="2318" spans="1:4" x14ac:dyDescent="0.2">
      <c r="A2318" s="17">
        <v>1365</v>
      </c>
      <c r="B2318" s="29">
        <v>2</v>
      </c>
      <c r="C2318" s="17">
        <v>630</v>
      </c>
      <c r="D2318" s="15">
        <v>225.91176000000002</v>
      </c>
    </row>
    <row r="2319" spans="1:4" x14ac:dyDescent="0.2">
      <c r="A2319" s="14">
        <v>1366</v>
      </c>
      <c r="B2319" s="29">
        <v>1</v>
      </c>
      <c r="C2319" s="14">
        <v>250</v>
      </c>
      <c r="D2319" s="15">
        <f>111.24627-10.5-10.5-10.5-10.5-5.5-27.5</f>
        <v>36.246269999999996</v>
      </c>
    </row>
    <row r="2320" spans="1:4" x14ac:dyDescent="0.2">
      <c r="A2320" s="14">
        <v>1367</v>
      </c>
      <c r="B2320" s="29">
        <v>1</v>
      </c>
      <c r="C2320" s="14">
        <v>250</v>
      </c>
      <c r="D2320" s="15">
        <f>97.4866275-10.5-8.25-8.25-8.25</f>
        <v>62.236627499999997</v>
      </c>
    </row>
    <row r="2321" spans="1:4" x14ac:dyDescent="0.2">
      <c r="A2321" s="17">
        <v>1367</v>
      </c>
      <c r="B2321" s="29">
        <v>2</v>
      </c>
      <c r="C2321" s="17">
        <v>250</v>
      </c>
      <c r="D2321" s="15">
        <f>88.981515-2.75-10.5</f>
        <v>75.731515000000002</v>
      </c>
    </row>
    <row r="2322" spans="1:4" x14ac:dyDescent="0.2">
      <c r="A2322" s="14">
        <v>1368</v>
      </c>
      <c r="B2322" s="29">
        <v>1</v>
      </c>
      <c r="C2322" s="14">
        <v>250</v>
      </c>
      <c r="D2322" s="15">
        <f>133.92657-10.5-10.5-10.5-10.5-9-10.5</f>
        <v>72.426569999999998</v>
      </c>
    </row>
    <row r="2323" spans="1:4" x14ac:dyDescent="0.2">
      <c r="A2323" s="14">
        <v>1369</v>
      </c>
      <c r="B2323" s="29">
        <v>1</v>
      </c>
      <c r="C2323" s="14">
        <v>315</v>
      </c>
      <c r="D2323" s="15">
        <v>72.525779999999997</v>
      </c>
    </row>
    <row r="2324" spans="1:4" x14ac:dyDescent="0.2">
      <c r="A2324" s="17">
        <v>1369</v>
      </c>
      <c r="B2324" s="29">
        <v>2</v>
      </c>
      <c r="C2324" s="17">
        <v>320</v>
      </c>
      <c r="D2324" s="15">
        <v>116.11802250000001</v>
      </c>
    </row>
    <row r="2325" spans="1:4" x14ac:dyDescent="0.2">
      <c r="A2325" s="14">
        <v>1370</v>
      </c>
      <c r="B2325" s="29">
        <v>1</v>
      </c>
      <c r="C2325" s="14">
        <v>630</v>
      </c>
      <c r="D2325" s="15">
        <f>193.123935-9.38-11.25</f>
        <v>172.49393499999999</v>
      </c>
    </row>
    <row r="2326" spans="1:4" x14ac:dyDescent="0.2">
      <c r="A2326" s="14">
        <v>1370</v>
      </c>
      <c r="B2326" s="29">
        <v>2</v>
      </c>
      <c r="C2326" s="14">
        <v>630</v>
      </c>
      <c r="D2326" s="15">
        <f>226.0350225-11.78-22.5-7.5</f>
        <v>184.2550225</v>
      </c>
    </row>
    <row r="2327" spans="1:4" x14ac:dyDescent="0.2">
      <c r="A2327" s="14">
        <v>1371</v>
      </c>
      <c r="B2327" s="29">
        <v>1</v>
      </c>
      <c r="C2327" s="14">
        <v>400</v>
      </c>
      <c r="D2327" s="15">
        <f>156.1117275-7.5-11-11.25-11.25-7.5-11.25-11.25-10.5</f>
        <v>74.611727500000001</v>
      </c>
    </row>
    <row r="2328" spans="1:4" x14ac:dyDescent="0.2">
      <c r="A2328" s="14">
        <v>1371</v>
      </c>
      <c r="B2328" s="29">
        <v>2</v>
      </c>
      <c r="C2328" s="14">
        <v>400</v>
      </c>
      <c r="D2328" s="15">
        <v>0</v>
      </c>
    </row>
    <row r="2329" spans="1:4" x14ac:dyDescent="0.2">
      <c r="A2329" s="14">
        <v>1372</v>
      </c>
      <c r="B2329" s="29">
        <v>1</v>
      </c>
      <c r="C2329" s="14">
        <v>400</v>
      </c>
      <c r="D2329" s="15">
        <f>143.3910375-22.5</f>
        <v>120.89103750000001</v>
      </c>
    </row>
    <row r="2330" spans="1:4" x14ac:dyDescent="0.2">
      <c r="A2330" s="14">
        <v>1372</v>
      </c>
      <c r="B2330" s="29">
        <v>2</v>
      </c>
      <c r="C2330" s="14">
        <v>400</v>
      </c>
      <c r="D2330" s="15">
        <v>135.25571250000002</v>
      </c>
    </row>
    <row r="2331" spans="1:4" x14ac:dyDescent="0.2">
      <c r="A2331" s="14">
        <v>1373</v>
      </c>
      <c r="B2331" s="29">
        <v>1</v>
      </c>
      <c r="C2331" s="14">
        <v>400</v>
      </c>
      <c r="D2331" s="15">
        <v>143.83478250000002</v>
      </c>
    </row>
    <row r="2332" spans="1:4" x14ac:dyDescent="0.2">
      <c r="A2332" s="14">
        <v>1373</v>
      </c>
      <c r="B2332" s="29">
        <v>2</v>
      </c>
      <c r="C2332" s="14">
        <v>400</v>
      </c>
      <c r="D2332" s="15">
        <v>155.88985500000001</v>
      </c>
    </row>
    <row r="2333" spans="1:4" x14ac:dyDescent="0.2">
      <c r="A2333" s="14">
        <v>1374</v>
      </c>
      <c r="B2333" s="29">
        <v>1</v>
      </c>
      <c r="C2333" s="14">
        <v>400</v>
      </c>
      <c r="D2333" s="15">
        <f>136.2911175-10.5</f>
        <v>125.79111750000001</v>
      </c>
    </row>
    <row r="2334" spans="1:4" x14ac:dyDescent="0.2">
      <c r="A2334" s="14">
        <v>1374</v>
      </c>
      <c r="B2334" s="29">
        <v>2</v>
      </c>
      <c r="C2334" s="14">
        <v>630</v>
      </c>
      <c r="D2334" s="15">
        <v>265.52832749999999</v>
      </c>
    </row>
    <row r="2335" spans="1:4" x14ac:dyDescent="0.2">
      <c r="A2335" s="14">
        <v>1375</v>
      </c>
      <c r="B2335" s="29">
        <v>1</v>
      </c>
      <c r="C2335" s="14">
        <v>400</v>
      </c>
      <c r="D2335" s="15">
        <v>161.4366675</v>
      </c>
    </row>
    <row r="2336" spans="1:4" x14ac:dyDescent="0.2">
      <c r="A2336" s="14">
        <v>1375</v>
      </c>
      <c r="B2336" s="29">
        <v>2</v>
      </c>
      <c r="C2336" s="14">
        <v>400</v>
      </c>
      <c r="D2336" s="15">
        <f>114.6955275-11.25-11-11</f>
        <v>81.445527499999997</v>
      </c>
    </row>
    <row r="2337" spans="1:4" x14ac:dyDescent="0.2">
      <c r="A2337" s="14">
        <v>1376</v>
      </c>
      <c r="B2337" s="29">
        <v>1</v>
      </c>
      <c r="C2337" s="14">
        <v>400</v>
      </c>
      <c r="D2337" s="15">
        <v>149.97325500000002</v>
      </c>
    </row>
    <row r="2338" spans="1:4" x14ac:dyDescent="0.2">
      <c r="A2338" s="14">
        <v>1376</v>
      </c>
      <c r="B2338" s="29">
        <v>2</v>
      </c>
      <c r="C2338" s="14">
        <v>400</v>
      </c>
      <c r="D2338" s="15">
        <v>161.510625</v>
      </c>
    </row>
    <row r="2339" spans="1:4" x14ac:dyDescent="0.2">
      <c r="A2339" s="14">
        <v>1377</v>
      </c>
      <c r="B2339" s="29">
        <v>1</v>
      </c>
      <c r="C2339" s="14">
        <v>400</v>
      </c>
      <c r="D2339" s="15">
        <f>147.89826-5.4-7.8-4.8-3-0.9-12.9-6.6-5.4</f>
        <v>101.09825999999995</v>
      </c>
    </row>
    <row r="2340" spans="1:4" x14ac:dyDescent="0.2">
      <c r="A2340" s="14">
        <v>1378</v>
      </c>
      <c r="B2340" s="29">
        <v>1</v>
      </c>
      <c r="C2340" s="14">
        <v>400</v>
      </c>
      <c r="D2340" s="15">
        <f>114.177825-10.5-5.5-3.16</f>
        <v>95.017825000000002</v>
      </c>
    </row>
    <row r="2341" spans="1:4" x14ac:dyDescent="0.2">
      <c r="A2341" s="14">
        <v>1378</v>
      </c>
      <c r="B2341" s="29">
        <v>2</v>
      </c>
      <c r="C2341" s="14">
        <v>400</v>
      </c>
      <c r="D2341" s="15">
        <f>135.5515425-0.55</f>
        <v>135.0015425</v>
      </c>
    </row>
    <row r="2342" spans="1:4" x14ac:dyDescent="0.2">
      <c r="A2342" s="14">
        <v>1379</v>
      </c>
      <c r="B2342" s="29">
        <v>1</v>
      </c>
      <c r="C2342" s="14">
        <v>400</v>
      </c>
      <c r="D2342" s="15">
        <f>158-10.5-7.77-103.6</f>
        <v>36.129999999999995</v>
      </c>
    </row>
    <row r="2343" spans="1:4" x14ac:dyDescent="0.2">
      <c r="A2343" s="14">
        <v>1379</v>
      </c>
      <c r="B2343" s="29">
        <v>2</v>
      </c>
      <c r="C2343" s="14">
        <v>400</v>
      </c>
      <c r="D2343" s="15">
        <v>0</v>
      </c>
    </row>
    <row r="2344" spans="1:4" x14ac:dyDescent="0.2">
      <c r="A2344" s="14">
        <v>1380</v>
      </c>
      <c r="B2344" s="29">
        <v>1</v>
      </c>
      <c r="C2344" s="14">
        <v>400</v>
      </c>
      <c r="D2344" s="15">
        <f>126.69711-5.95-5.95-7-10.5-18.2</f>
        <v>79.097109999999986</v>
      </c>
    </row>
    <row r="2345" spans="1:4" x14ac:dyDescent="0.2">
      <c r="A2345" s="14">
        <v>1381</v>
      </c>
      <c r="B2345" s="29">
        <v>1</v>
      </c>
      <c r="C2345" s="14">
        <v>630</v>
      </c>
      <c r="D2345" s="15">
        <f>301.97169-10.5-10.5-12.6-16.1-7-14-3.5</f>
        <v>227.77169000000001</v>
      </c>
    </row>
    <row r="2346" spans="1:4" x14ac:dyDescent="0.2">
      <c r="A2346" s="14">
        <v>1382</v>
      </c>
      <c r="B2346" s="29">
        <v>1</v>
      </c>
      <c r="C2346" s="14">
        <v>400</v>
      </c>
      <c r="D2346" s="15">
        <f>158.94258-8.4-7-10.5-10.5-8.75-8.4-8.4</f>
        <v>96.992579999999975</v>
      </c>
    </row>
    <row r="2347" spans="1:4" x14ac:dyDescent="0.2">
      <c r="A2347" s="14">
        <v>1383</v>
      </c>
      <c r="B2347" s="29">
        <v>1</v>
      </c>
      <c r="C2347" s="14">
        <v>400</v>
      </c>
      <c r="D2347" s="15">
        <f>176.006295-2.1-41.5</f>
        <v>132.406295</v>
      </c>
    </row>
    <row r="2348" spans="1:4" x14ac:dyDescent="0.2">
      <c r="A2348" s="14">
        <v>1383</v>
      </c>
      <c r="B2348" s="29">
        <v>2</v>
      </c>
      <c r="C2348" s="14">
        <v>400</v>
      </c>
      <c r="D2348" s="15">
        <f>169.5719925-41.5</f>
        <v>128.07199249999999</v>
      </c>
    </row>
    <row r="2349" spans="1:4" x14ac:dyDescent="0.2">
      <c r="A2349" s="14">
        <v>1384</v>
      </c>
      <c r="B2349" s="29">
        <v>1</v>
      </c>
      <c r="C2349" s="14">
        <v>400</v>
      </c>
      <c r="D2349" s="15">
        <v>162.02832750000002</v>
      </c>
    </row>
    <row r="2350" spans="1:4" x14ac:dyDescent="0.2">
      <c r="A2350" s="14">
        <v>1384</v>
      </c>
      <c r="B2350" s="29">
        <v>2</v>
      </c>
      <c r="C2350" s="14">
        <v>400</v>
      </c>
      <c r="D2350" s="15">
        <v>170.97718499999999</v>
      </c>
    </row>
    <row r="2351" spans="1:4" x14ac:dyDescent="0.2">
      <c r="A2351" s="14">
        <v>1385</v>
      </c>
      <c r="B2351" s="29">
        <v>1</v>
      </c>
      <c r="C2351" s="14">
        <v>400</v>
      </c>
      <c r="D2351" s="15">
        <f>152-10.5-7</f>
        <v>134.5</v>
      </c>
    </row>
    <row r="2352" spans="1:4" x14ac:dyDescent="0.2">
      <c r="A2352" s="14">
        <v>1385</v>
      </c>
      <c r="B2352" s="29">
        <v>2</v>
      </c>
      <c r="C2352" s="14">
        <v>400</v>
      </c>
      <c r="D2352" s="15">
        <v>167.57514</v>
      </c>
    </row>
    <row r="2353" spans="1:4" x14ac:dyDescent="0.2">
      <c r="A2353" s="14">
        <v>1386</v>
      </c>
      <c r="B2353" s="29">
        <v>1</v>
      </c>
      <c r="C2353" s="14">
        <v>315</v>
      </c>
      <c r="D2353" s="15">
        <f>116.22582-92.4-18.2</f>
        <v>5.6258199999999938</v>
      </c>
    </row>
    <row r="2354" spans="1:4" x14ac:dyDescent="0.2">
      <c r="A2354" s="14">
        <v>1387</v>
      </c>
      <c r="B2354" s="29">
        <v>1</v>
      </c>
      <c r="C2354" s="14">
        <v>160</v>
      </c>
      <c r="D2354" s="15">
        <v>71.334382500000004</v>
      </c>
    </row>
    <row r="2355" spans="1:4" x14ac:dyDescent="0.2">
      <c r="A2355" s="14">
        <v>1387</v>
      </c>
      <c r="B2355" s="29">
        <v>2</v>
      </c>
      <c r="C2355" s="14">
        <v>250</v>
      </c>
      <c r="D2355" s="15">
        <f>76.9264425-10.5</f>
        <v>66.426442499999993</v>
      </c>
    </row>
    <row r="2356" spans="1:4" x14ac:dyDescent="0.2">
      <c r="A2356" s="14">
        <v>1388</v>
      </c>
      <c r="B2356" s="29">
        <v>1</v>
      </c>
      <c r="C2356" s="14">
        <v>250</v>
      </c>
      <c r="D2356" s="15">
        <f>118-9-51</f>
        <v>58</v>
      </c>
    </row>
    <row r="2357" spans="1:4" x14ac:dyDescent="0.2">
      <c r="A2357" s="14">
        <v>1389</v>
      </c>
      <c r="B2357" s="29">
        <v>1</v>
      </c>
      <c r="C2357" s="14">
        <v>400</v>
      </c>
      <c r="D2357" s="15">
        <v>160.327305</v>
      </c>
    </row>
    <row r="2358" spans="1:4" x14ac:dyDescent="0.2">
      <c r="A2358" s="14">
        <v>1389</v>
      </c>
      <c r="B2358" s="29">
        <v>2</v>
      </c>
      <c r="C2358" s="14">
        <v>400</v>
      </c>
      <c r="D2358" s="15">
        <v>159.80960250000001</v>
      </c>
    </row>
    <row r="2359" spans="1:4" x14ac:dyDescent="0.2">
      <c r="A2359" s="14">
        <v>1390</v>
      </c>
      <c r="B2359" s="29">
        <v>1</v>
      </c>
      <c r="C2359" s="14">
        <v>250</v>
      </c>
      <c r="D2359" s="15">
        <v>91.791899999999998</v>
      </c>
    </row>
    <row r="2360" spans="1:4" x14ac:dyDescent="0.2">
      <c r="A2360" s="14">
        <v>1390</v>
      </c>
      <c r="B2360" s="29">
        <v>2</v>
      </c>
      <c r="C2360" s="14">
        <v>250</v>
      </c>
      <c r="D2360" s="15">
        <v>83.212829999999997</v>
      </c>
    </row>
    <row r="2361" spans="1:4" x14ac:dyDescent="0.2">
      <c r="A2361" s="14">
        <v>1391</v>
      </c>
      <c r="B2361" s="29">
        <v>1</v>
      </c>
      <c r="C2361" s="14">
        <v>400</v>
      </c>
      <c r="D2361" s="15">
        <f>142.23237-27.09-3.5</f>
        <v>111.64237</v>
      </c>
    </row>
    <row r="2362" spans="1:4" x14ac:dyDescent="0.2">
      <c r="A2362" s="14">
        <v>1391</v>
      </c>
      <c r="B2362" s="29">
        <v>2</v>
      </c>
      <c r="C2362" s="14">
        <v>400</v>
      </c>
      <c r="D2362" s="15">
        <f>119.65068-4.2-10.5-7-15</f>
        <v>82.950679999999991</v>
      </c>
    </row>
    <row r="2363" spans="1:4" x14ac:dyDescent="0.2">
      <c r="A2363" s="14">
        <v>1392</v>
      </c>
      <c r="B2363" s="29">
        <v>1</v>
      </c>
      <c r="C2363" s="14">
        <v>400</v>
      </c>
      <c r="D2363" s="15">
        <f>132.86442-59.5</f>
        <v>73.364419999999996</v>
      </c>
    </row>
    <row r="2364" spans="1:4" x14ac:dyDescent="0.2">
      <c r="A2364" s="14">
        <v>1392</v>
      </c>
      <c r="B2364" s="29">
        <v>2</v>
      </c>
      <c r="C2364" s="14">
        <v>400</v>
      </c>
      <c r="D2364" s="15">
        <f>146.96565-10.5</f>
        <v>136.46565000000001</v>
      </c>
    </row>
    <row r="2365" spans="1:4" x14ac:dyDescent="0.2">
      <c r="A2365" s="23">
        <v>1393</v>
      </c>
      <c r="B2365" s="39">
        <v>1</v>
      </c>
      <c r="C2365" s="23">
        <v>400</v>
      </c>
      <c r="D2365" s="15">
        <f>148.6214-22.8-13.2-6</f>
        <v>106.62139999999999</v>
      </c>
    </row>
    <row r="2366" spans="1:4" x14ac:dyDescent="0.2">
      <c r="A2366" s="23">
        <v>1394</v>
      </c>
      <c r="B2366" s="39">
        <v>1</v>
      </c>
      <c r="C2366" s="23">
        <v>200</v>
      </c>
      <c r="D2366" s="15">
        <v>87.458699999999993</v>
      </c>
    </row>
    <row r="2367" spans="1:4" x14ac:dyDescent="0.2">
      <c r="A2367" s="14">
        <v>1395</v>
      </c>
      <c r="B2367" s="29">
        <v>1</v>
      </c>
      <c r="C2367" s="14">
        <v>630</v>
      </c>
      <c r="D2367" s="15">
        <f>256.80831-9-6.3-9-9-57-42</f>
        <v>124.50830999999999</v>
      </c>
    </row>
    <row r="2368" spans="1:4" x14ac:dyDescent="0.2">
      <c r="A2368" s="14">
        <v>1396</v>
      </c>
      <c r="B2368" s="29">
        <v>1</v>
      </c>
      <c r="C2368" s="14">
        <v>630</v>
      </c>
      <c r="D2368" s="15">
        <f>257.5409175-7.2-3-6-7.2</f>
        <v>234.1409175</v>
      </c>
    </row>
    <row r="2369" spans="1:4" x14ac:dyDescent="0.2">
      <c r="A2369" s="14">
        <v>1396</v>
      </c>
      <c r="B2369" s="29">
        <v>2</v>
      </c>
      <c r="C2369" s="14">
        <v>400</v>
      </c>
      <c r="D2369" s="15">
        <f>106.4122875-4.2-9-9</f>
        <v>84.212287500000002</v>
      </c>
    </row>
    <row r="2370" spans="1:4" x14ac:dyDescent="0.2">
      <c r="A2370" s="14">
        <v>1397</v>
      </c>
      <c r="B2370" s="29">
        <v>1</v>
      </c>
      <c r="C2370" s="14">
        <v>400</v>
      </c>
      <c r="D2370" s="15">
        <f>141.88305-6</f>
        <v>135.88305</v>
      </c>
    </row>
    <row r="2371" spans="1:4" x14ac:dyDescent="0.2">
      <c r="A2371" s="14">
        <v>1398</v>
      </c>
      <c r="B2371" s="29">
        <v>1</v>
      </c>
      <c r="C2371" s="14">
        <v>400</v>
      </c>
      <c r="D2371" s="15">
        <v>138.9535875</v>
      </c>
    </row>
    <row r="2372" spans="1:4" x14ac:dyDescent="0.2">
      <c r="A2372" s="14">
        <v>1398</v>
      </c>
      <c r="B2372" s="29">
        <v>2</v>
      </c>
      <c r="C2372" s="14">
        <v>400</v>
      </c>
      <c r="D2372" s="15">
        <f>126.6766425-9-5.64-9</f>
        <v>103.0366425</v>
      </c>
    </row>
    <row r="2373" spans="1:4" x14ac:dyDescent="0.2">
      <c r="A2373" s="14">
        <v>1399</v>
      </c>
      <c r="B2373" s="29">
        <v>1</v>
      </c>
      <c r="C2373" s="14">
        <v>630</v>
      </c>
      <c r="D2373" s="15">
        <f>284-9</f>
        <v>275</v>
      </c>
    </row>
    <row r="2374" spans="1:4" x14ac:dyDescent="0.2">
      <c r="A2374" s="14">
        <v>1399</v>
      </c>
      <c r="B2374" s="29">
        <v>2</v>
      </c>
      <c r="C2374" s="14">
        <v>630</v>
      </c>
      <c r="D2374" s="15">
        <f>284-9.8-20.4</f>
        <v>253.79999999999998</v>
      </c>
    </row>
    <row r="2375" spans="1:4" x14ac:dyDescent="0.2">
      <c r="A2375" s="14">
        <v>1400</v>
      </c>
      <c r="B2375" s="29">
        <v>1</v>
      </c>
      <c r="C2375" s="14">
        <v>250</v>
      </c>
      <c r="D2375" s="15" t="s">
        <v>8</v>
      </c>
    </row>
    <row r="2376" spans="1:4" x14ac:dyDescent="0.2">
      <c r="A2376" s="14">
        <v>1400</v>
      </c>
      <c r="B2376" s="29">
        <v>2</v>
      </c>
      <c r="C2376" s="14">
        <v>250</v>
      </c>
      <c r="D2376" s="15">
        <v>81.289935</v>
      </c>
    </row>
    <row r="2377" spans="1:4" x14ac:dyDescent="0.2">
      <c r="A2377" s="14">
        <v>1401</v>
      </c>
      <c r="B2377" s="29">
        <v>1</v>
      </c>
      <c r="C2377" s="14">
        <v>400</v>
      </c>
      <c r="D2377" s="15">
        <f>154.9284075-2.1</f>
        <v>152.8284075</v>
      </c>
    </row>
    <row r="2378" spans="1:4" x14ac:dyDescent="0.2">
      <c r="A2378" s="14">
        <v>1401</v>
      </c>
      <c r="B2378" s="29">
        <v>2</v>
      </c>
      <c r="C2378" s="14">
        <v>400</v>
      </c>
      <c r="D2378" s="15">
        <v>139.98899249999999</v>
      </c>
    </row>
    <row r="2379" spans="1:4" x14ac:dyDescent="0.2">
      <c r="A2379" s="14">
        <v>1402</v>
      </c>
      <c r="B2379" s="29">
        <v>1</v>
      </c>
      <c r="C2379" s="14">
        <v>250</v>
      </c>
      <c r="D2379" s="15">
        <f>95.34186-10.5</f>
        <v>84.841859999999997</v>
      </c>
    </row>
    <row r="2380" spans="1:4" x14ac:dyDescent="0.2">
      <c r="A2380" s="14">
        <v>1402</v>
      </c>
      <c r="B2380" s="29">
        <v>2</v>
      </c>
      <c r="C2380" s="14">
        <v>250</v>
      </c>
      <c r="D2380" s="15">
        <f>89.42526-10.5</f>
        <v>78.925259999999994</v>
      </c>
    </row>
    <row r="2381" spans="1:4" x14ac:dyDescent="0.2">
      <c r="A2381" s="14">
        <v>1403</v>
      </c>
      <c r="B2381" s="29">
        <v>1</v>
      </c>
      <c r="C2381" s="14">
        <v>400</v>
      </c>
      <c r="D2381" s="15">
        <f>111.51117-9.59-10.5-7-10.5-10.5-10.5-7.35-7-0.14-10.5</f>
        <v>27.931170000000002</v>
      </c>
    </row>
    <row r="2382" spans="1:4" x14ac:dyDescent="0.2">
      <c r="A2382" s="14">
        <v>1404</v>
      </c>
      <c r="B2382" s="29">
        <v>1</v>
      </c>
      <c r="C2382" s="14">
        <v>400</v>
      </c>
      <c r="D2382" s="15">
        <v>0</v>
      </c>
    </row>
    <row r="2383" spans="1:4" x14ac:dyDescent="0.2">
      <c r="A2383" s="14">
        <v>1404</v>
      </c>
      <c r="B2383" s="29">
        <v>2</v>
      </c>
      <c r="C2383" s="14">
        <v>400</v>
      </c>
      <c r="D2383" s="15">
        <v>0</v>
      </c>
    </row>
    <row r="2384" spans="1:4" x14ac:dyDescent="0.2">
      <c r="A2384" s="14">
        <v>1405</v>
      </c>
      <c r="B2384" s="29">
        <v>1</v>
      </c>
      <c r="C2384" s="14">
        <v>400</v>
      </c>
      <c r="D2384" s="15">
        <f>166.33833-7-17.5-3.5-17.5-2.1-4.2-1.12-0.7</f>
        <v>112.71833000000001</v>
      </c>
    </row>
    <row r="2385" spans="1:4" x14ac:dyDescent="0.2">
      <c r="A2385" s="14">
        <v>1406</v>
      </c>
      <c r="B2385" s="29">
        <v>1</v>
      </c>
      <c r="C2385" s="14">
        <v>400</v>
      </c>
      <c r="D2385" s="15">
        <v>218.79885000000002</v>
      </c>
    </row>
    <row r="2386" spans="1:4" x14ac:dyDescent="0.2">
      <c r="A2386" s="14">
        <v>1407</v>
      </c>
      <c r="B2386" s="29">
        <v>1</v>
      </c>
      <c r="C2386" s="14">
        <v>250</v>
      </c>
      <c r="D2386" s="15">
        <v>117.45869999999999</v>
      </c>
    </row>
    <row r="2387" spans="1:4" x14ac:dyDescent="0.2">
      <c r="A2387" s="14">
        <v>1408</v>
      </c>
      <c r="B2387" s="29">
        <v>1</v>
      </c>
      <c r="C2387" s="14">
        <v>400</v>
      </c>
      <c r="D2387" s="15">
        <f>147-10.5-10.5-3.5-63-10.5-10.5-10.5-10.5</f>
        <v>17.5</v>
      </c>
    </row>
    <row r="2388" spans="1:4" x14ac:dyDescent="0.2">
      <c r="A2388" s="14">
        <v>1408</v>
      </c>
      <c r="B2388" s="29">
        <v>2</v>
      </c>
      <c r="C2388" s="14">
        <v>400</v>
      </c>
      <c r="D2388" s="15">
        <f>165-2.1-56</f>
        <v>106.9</v>
      </c>
    </row>
    <row r="2389" spans="1:4" x14ac:dyDescent="0.2">
      <c r="A2389" s="14">
        <v>1409</v>
      </c>
      <c r="B2389" s="29">
        <v>1</v>
      </c>
      <c r="C2389" s="14">
        <v>400</v>
      </c>
      <c r="D2389" s="15">
        <f>133.3328175-12.6-3.5-10.5-14</f>
        <v>92.73281750000001</v>
      </c>
    </row>
    <row r="2390" spans="1:4" x14ac:dyDescent="0.2">
      <c r="A2390" s="14">
        <v>1409</v>
      </c>
      <c r="B2390" s="29">
        <v>2</v>
      </c>
      <c r="C2390" s="14">
        <v>400</v>
      </c>
      <c r="D2390" s="15">
        <f>145.7576775-63-5.25</f>
        <v>77.5076775</v>
      </c>
    </row>
    <row r="2391" spans="1:4" x14ac:dyDescent="0.2">
      <c r="A2391" s="14">
        <v>1410</v>
      </c>
      <c r="B2391" s="29">
        <v>1</v>
      </c>
      <c r="C2391" s="14">
        <v>250</v>
      </c>
      <c r="D2391" s="15">
        <f>74.7077175-0.7-12.6</f>
        <v>61.407717499999997</v>
      </c>
    </row>
    <row r="2392" spans="1:4" x14ac:dyDescent="0.2">
      <c r="A2392" s="14">
        <v>1410</v>
      </c>
      <c r="B2392" s="29">
        <v>2</v>
      </c>
      <c r="C2392" s="14">
        <v>250</v>
      </c>
      <c r="D2392" s="15">
        <v>0</v>
      </c>
    </row>
    <row r="2393" spans="1:4" x14ac:dyDescent="0.2">
      <c r="A2393" s="14">
        <v>1411</v>
      </c>
      <c r="B2393" s="29">
        <v>1</v>
      </c>
      <c r="C2393" s="14">
        <v>400</v>
      </c>
      <c r="D2393" s="15">
        <f>166.243905-8.25-8.25-0.42</f>
        <v>149.32390500000002</v>
      </c>
    </row>
    <row r="2394" spans="1:4" x14ac:dyDescent="0.2">
      <c r="A2394" s="14">
        <v>1411</v>
      </c>
      <c r="B2394" s="29">
        <v>2</v>
      </c>
      <c r="C2394" s="14">
        <v>400</v>
      </c>
      <c r="D2394" s="15">
        <f>157.22109-5.5-2.75-8.25-8.25-16.5-8.25-5.78</f>
        <v>101.94109</v>
      </c>
    </row>
    <row r="2395" spans="1:4" x14ac:dyDescent="0.2">
      <c r="A2395" s="14">
        <v>1412</v>
      </c>
      <c r="B2395" s="29">
        <v>1</v>
      </c>
      <c r="C2395" s="14">
        <v>250</v>
      </c>
      <c r="D2395" s="15">
        <v>0</v>
      </c>
    </row>
    <row r="2396" spans="1:4" x14ac:dyDescent="0.2">
      <c r="A2396" s="14">
        <v>1412</v>
      </c>
      <c r="B2396" s="29">
        <v>2</v>
      </c>
      <c r="C2396" s="14">
        <v>160</v>
      </c>
      <c r="D2396" s="15">
        <v>0</v>
      </c>
    </row>
    <row r="2397" spans="1:4" x14ac:dyDescent="0.2">
      <c r="A2397" s="14">
        <v>1413</v>
      </c>
      <c r="B2397" s="29">
        <v>1</v>
      </c>
      <c r="C2397" s="14">
        <v>400</v>
      </c>
      <c r="D2397" s="15">
        <f>174.1573575-8.25-110</f>
        <v>55.907357499999989</v>
      </c>
    </row>
    <row r="2398" spans="1:4" x14ac:dyDescent="0.2">
      <c r="A2398" s="14">
        <v>1413</v>
      </c>
      <c r="B2398" s="29">
        <v>2</v>
      </c>
      <c r="C2398" s="14">
        <v>400</v>
      </c>
      <c r="D2398" s="15">
        <f>146.423295-110-8.25-8.25</f>
        <v>19.923294999999996</v>
      </c>
    </row>
    <row r="2399" spans="1:4" x14ac:dyDescent="0.2">
      <c r="A2399" s="14">
        <v>1414</v>
      </c>
      <c r="B2399" s="29">
        <v>1</v>
      </c>
      <c r="C2399" s="14">
        <v>400</v>
      </c>
      <c r="D2399" s="15">
        <f>163.2116475-35.75-5.5-27.5-35.75-5.5-7</f>
        <v>46.211647499999998</v>
      </c>
    </row>
    <row r="2400" spans="1:4" x14ac:dyDescent="0.2">
      <c r="A2400" s="14">
        <v>1414</v>
      </c>
      <c r="B2400" s="29">
        <v>2</v>
      </c>
      <c r="C2400" s="14">
        <v>400</v>
      </c>
      <c r="D2400" s="15">
        <f>100.569645-8.25-2.75-44-35.75</f>
        <v>9.8196449999999942</v>
      </c>
    </row>
    <row r="2401" spans="1:4" x14ac:dyDescent="0.2">
      <c r="A2401" s="14">
        <v>1415</v>
      </c>
      <c r="B2401" s="29">
        <v>1</v>
      </c>
      <c r="C2401" s="14">
        <v>630</v>
      </c>
      <c r="D2401" s="15">
        <f>261.5346225-9</f>
        <v>252.53462250000001</v>
      </c>
    </row>
    <row r="2402" spans="1:4" x14ac:dyDescent="0.2">
      <c r="A2402" s="14">
        <v>1415</v>
      </c>
      <c r="B2402" s="29">
        <v>2</v>
      </c>
      <c r="C2402" s="14">
        <v>400</v>
      </c>
      <c r="D2402" s="15">
        <f>177.1156575-61.6-2.75</f>
        <v>112.7656575</v>
      </c>
    </row>
    <row r="2403" spans="1:4" x14ac:dyDescent="0.2">
      <c r="A2403" s="14">
        <v>1416</v>
      </c>
      <c r="B2403" s="29">
        <v>1</v>
      </c>
      <c r="C2403" s="14">
        <v>250</v>
      </c>
      <c r="D2403" s="15">
        <v>0</v>
      </c>
    </row>
    <row r="2404" spans="1:4" x14ac:dyDescent="0.2">
      <c r="A2404" s="14">
        <v>1416</v>
      </c>
      <c r="B2404" s="29">
        <v>2</v>
      </c>
      <c r="C2404" s="14">
        <v>400</v>
      </c>
      <c r="D2404" s="15">
        <v>0</v>
      </c>
    </row>
    <row r="2405" spans="1:4" x14ac:dyDescent="0.2">
      <c r="A2405" s="14">
        <v>1417</v>
      </c>
      <c r="B2405" s="29">
        <v>1</v>
      </c>
      <c r="C2405" s="14">
        <v>250</v>
      </c>
      <c r="D2405" s="15">
        <f>72.95272-11.22-3.3-7.2-9-2.4</f>
        <v>39.832720000000002</v>
      </c>
    </row>
    <row r="2406" spans="1:4" x14ac:dyDescent="0.2">
      <c r="A2406" s="14">
        <v>1418</v>
      </c>
      <c r="B2406" s="29">
        <v>1</v>
      </c>
      <c r="C2406" s="14">
        <v>250</v>
      </c>
      <c r="D2406" s="15">
        <f>80.74758-7.35-9</f>
        <v>64.397580000000005</v>
      </c>
    </row>
    <row r="2407" spans="1:4" x14ac:dyDescent="0.2">
      <c r="A2407" s="14">
        <v>1418</v>
      </c>
      <c r="B2407" s="29">
        <v>2</v>
      </c>
      <c r="C2407" s="14">
        <v>250</v>
      </c>
      <c r="D2407" s="15">
        <f>47.51601-0.06-9-6.3-6</f>
        <v>26.156010000000002</v>
      </c>
    </row>
    <row r="2408" spans="1:4" x14ac:dyDescent="0.2">
      <c r="A2408" s="14">
        <v>1419</v>
      </c>
      <c r="B2408" s="29">
        <v>1</v>
      </c>
      <c r="C2408" s="14">
        <v>630</v>
      </c>
      <c r="D2408" s="15">
        <f>247.40874-83.4</f>
        <v>164.00873999999999</v>
      </c>
    </row>
    <row r="2409" spans="1:4" x14ac:dyDescent="0.2">
      <c r="A2409" s="14">
        <v>1419</v>
      </c>
      <c r="B2409" s="29">
        <v>2</v>
      </c>
      <c r="C2409" s="14">
        <v>630</v>
      </c>
      <c r="D2409" s="15">
        <f>245.73237-83.4</f>
        <v>162.33237</v>
      </c>
    </row>
    <row r="2410" spans="1:4" x14ac:dyDescent="0.2">
      <c r="A2410" s="14">
        <v>1420</v>
      </c>
      <c r="B2410" s="29">
        <v>1</v>
      </c>
      <c r="C2410" s="14">
        <v>160</v>
      </c>
      <c r="D2410" s="15">
        <f>60.20457-6-15-9</f>
        <v>30.204569999999997</v>
      </c>
    </row>
    <row r="2411" spans="1:4" x14ac:dyDescent="0.2">
      <c r="A2411" s="14">
        <v>1421</v>
      </c>
      <c r="B2411" s="29">
        <v>1</v>
      </c>
      <c r="C2411" s="14">
        <v>250</v>
      </c>
      <c r="D2411" s="15">
        <f>94.87701-15-6-9-9-4.8</f>
        <v>51.077010000000001</v>
      </c>
    </row>
    <row r="2412" spans="1:4" x14ac:dyDescent="0.2">
      <c r="A2412" s="14">
        <v>1422</v>
      </c>
      <c r="B2412" s="29">
        <v>1</v>
      </c>
      <c r="C2412" s="14">
        <v>250</v>
      </c>
      <c r="D2412" s="15">
        <f>124.85445-9-4.8-4.8-3</f>
        <v>103.25445000000001</v>
      </c>
    </row>
    <row r="2413" spans="1:4" x14ac:dyDescent="0.2">
      <c r="A2413" s="14">
        <v>1423</v>
      </c>
      <c r="B2413" s="29">
        <v>1</v>
      </c>
      <c r="C2413" s="14">
        <v>400</v>
      </c>
      <c r="D2413" s="15">
        <v>164.02518000000001</v>
      </c>
    </row>
    <row r="2414" spans="1:4" x14ac:dyDescent="0.2">
      <c r="A2414" s="14">
        <v>1423</v>
      </c>
      <c r="B2414" s="29">
        <v>2</v>
      </c>
      <c r="C2414" s="14">
        <v>400</v>
      </c>
      <c r="D2414" s="15">
        <f>180-10.5</f>
        <v>169.5</v>
      </c>
    </row>
    <row r="2415" spans="1:4" x14ac:dyDescent="0.2">
      <c r="A2415" s="14">
        <v>1424</v>
      </c>
      <c r="B2415" s="29">
        <v>1</v>
      </c>
      <c r="C2415" s="14">
        <v>630</v>
      </c>
      <c r="D2415" s="15">
        <v>269.37411750000001</v>
      </c>
    </row>
    <row r="2416" spans="1:4" x14ac:dyDescent="0.2">
      <c r="A2416" s="14">
        <v>1424</v>
      </c>
      <c r="B2416" s="29">
        <v>2</v>
      </c>
      <c r="C2416" s="14">
        <v>630</v>
      </c>
      <c r="D2416" s="15">
        <v>237.27656250000001</v>
      </c>
    </row>
    <row r="2417" spans="1:4" x14ac:dyDescent="0.2">
      <c r="A2417" s="14">
        <v>1425</v>
      </c>
      <c r="B2417" s="29">
        <v>1</v>
      </c>
      <c r="C2417" s="14">
        <v>400</v>
      </c>
      <c r="D2417" s="15">
        <f>168.314715-10.5</f>
        <v>157.81471500000001</v>
      </c>
    </row>
    <row r="2418" spans="1:4" x14ac:dyDescent="0.2">
      <c r="A2418" s="14">
        <v>1425</v>
      </c>
      <c r="B2418" s="29">
        <v>2</v>
      </c>
      <c r="C2418" s="14">
        <v>400</v>
      </c>
      <c r="D2418" s="15">
        <v>164.83871249999999</v>
      </c>
    </row>
    <row r="2419" spans="1:4" x14ac:dyDescent="0.2">
      <c r="A2419" s="14">
        <v>1426</v>
      </c>
      <c r="B2419" s="29">
        <v>1</v>
      </c>
      <c r="C2419" s="14">
        <v>250</v>
      </c>
      <c r="D2419" s="15">
        <v>0</v>
      </c>
    </row>
    <row r="2420" spans="1:4" x14ac:dyDescent="0.2">
      <c r="A2420" s="14">
        <v>1426</v>
      </c>
      <c r="B2420" s="29">
        <v>2</v>
      </c>
      <c r="C2420" s="14">
        <v>250</v>
      </c>
      <c r="D2420" s="15">
        <v>0</v>
      </c>
    </row>
    <row r="2421" spans="1:4" x14ac:dyDescent="0.2">
      <c r="A2421" s="14">
        <v>1427</v>
      </c>
      <c r="B2421" s="29">
        <v>1</v>
      </c>
      <c r="C2421" s="14">
        <v>400</v>
      </c>
      <c r="D2421" s="15">
        <f>144.54552-13.75-8.25-8.25</f>
        <v>114.29552000000001</v>
      </c>
    </row>
    <row r="2422" spans="1:4" x14ac:dyDescent="0.2">
      <c r="A2422" s="14">
        <v>1428</v>
      </c>
      <c r="B2422" s="29">
        <v>1</v>
      </c>
      <c r="C2422" s="14">
        <v>400</v>
      </c>
      <c r="D2422" s="15">
        <f>112.994505-4.02</f>
        <v>108.97450500000001</v>
      </c>
    </row>
    <row r="2423" spans="1:4" x14ac:dyDescent="0.2">
      <c r="A2423" s="14">
        <v>1428</v>
      </c>
      <c r="B2423" s="29">
        <v>2</v>
      </c>
      <c r="C2423" s="14">
        <v>400</v>
      </c>
      <c r="D2423" s="15">
        <f>157.81275-6-7.8</f>
        <v>144.01274999999998</v>
      </c>
    </row>
    <row r="2424" spans="1:4" x14ac:dyDescent="0.2">
      <c r="A2424" s="14">
        <v>1429</v>
      </c>
      <c r="B2424" s="29">
        <v>1</v>
      </c>
      <c r="C2424" s="14">
        <v>400</v>
      </c>
      <c r="D2424" s="15">
        <f>167.91609-9</f>
        <v>158.91609</v>
      </c>
    </row>
    <row r="2425" spans="1:4" x14ac:dyDescent="0.2">
      <c r="A2425" s="14">
        <v>1430</v>
      </c>
      <c r="B2425" s="29">
        <v>1</v>
      </c>
      <c r="C2425" s="14">
        <v>400</v>
      </c>
      <c r="D2425" s="15">
        <f>140.210865-9</f>
        <v>131.21086500000001</v>
      </c>
    </row>
    <row r="2426" spans="1:4" x14ac:dyDescent="0.2">
      <c r="A2426" s="14">
        <v>1430</v>
      </c>
      <c r="B2426" s="29">
        <v>2</v>
      </c>
      <c r="C2426" s="14">
        <v>400</v>
      </c>
      <c r="D2426" s="15">
        <f>151.30449-18.6</f>
        <v>132.70448999999999</v>
      </c>
    </row>
    <row r="2427" spans="1:4" x14ac:dyDescent="0.2">
      <c r="A2427" s="14">
        <v>1431</v>
      </c>
      <c r="B2427" s="29">
        <v>1</v>
      </c>
      <c r="C2427" s="14">
        <v>250</v>
      </c>
      <c r="D2427" s="15">
        <v>80.846189999999993</v>
      </c>
    </row>
    <row r="2428" spans="1:4" x14ac:dyDescent="0.2">
      <c r="A2428" s="14">
        <v>1431</v>
      </c>
      <c r="B2428" s="29">
        <v>2</v>
      </c>
      <c r="C2428" s="14">
        <v>400</v>
      </c>
      <c r="D2428" s="15">
        <f>160-15</f>
        <v>145</v>
      </c>
    </row>
    <row r="2429" spans="1:4" x14ac:dyDescent="0.2">
      <c r="A2429" s="14">
        <v>1432</v>
      </c>
      <c r="B2429" s="29">
        <v>1</v>
      </c>
      <c r="C2429" s="14">
        <v>400</v>
      </c>
      <c r="D2429" s="15">
        <f>178-5.5-15.25-10.5-8.25-10.5-10.5-10.5-10.5-6.3-7.35</f>
        <v>82.850000000000009</v>
      </c>
    </row>
    <row r="2430" spans="1:4" x14ac:dyDescent="0.2">
      <c r="A2430" s="14">
        <v>1433</v>
      </c>
      <c r="B2430" s="29">
        <v>1</v>
      </c>
      <c r="C2430" s="14">
        <v>400</v>
      </c>
      <c r="D2430" s="15">
        <v>157.07317499999999</v>
      </c>
    </row>
    <row r="2431" spans="1:4" x14ac:dyDescent="0.2">
      <c r="A2431" s="14">
        <v>1433</v>
      </c>
      <c r="B2431" s="29">
        <v>2</v>
      </c>
      <c r="C2431" s="14">
        <v>400</v>
      </c>
      <c r="D2431" s="15">
        <v>164.39496750000001</v>
      </c>
    </row>
    <row r="2432" spans="1:4" x14ac:dyDescent="0.2">
      <c r="A2432" s="14">
        <v>1434</v>
      </c>
      <c r="B2432" s="29">
        <v>1</v>
      </c>
      <c r="C2432" s="14">
        <v>630</v>
      </c>
      <c r="D2432" s="15">
        <f>259.1679825-45-48-10.2-0.82</f>
        <v>155.14798250000001</v>
      </c>
    </row>
    <row r="2433" spans="1:4" x14ac:dyDescent="0.2">
      <c r="A2433" s="14">
        <v>1434</v>
      </c>
      <c r="B2433" s="29">
        <v>2</v>
      </c>
      <c r="C2433" s="14">
        <v>630</v>
      </c>
      <c r="D2433" s="15">
        <f>255.6180225-53.29-45</f>
        <v>157.3280225</v>
      </c>
    </row>
    <row r="2434" spans="1:4" x14ac:dyDescent="0.2">
      <c r="A2434" s="14">
        <v>1435</v>
      </c>
      <c r="B2434" s="29">
        <v>1</v>
      </c>
      <c r="C2434" s="14">
        <v>250</v>
      </c>
      <c r="D2434" s="15">
        <f>67.977585-9-18-9-15</f>
        <v>16.977585000000005</v>
      </c>
    </row>
    <row r="2435" spans="1:4" x14ac:dyDescent="0.2">
      <c r="A2435" s="14">
        <v>1435</v>
      </c>
      <c r="B2435" s="29">
        <v>2</v>
      </c>
      <c r="C2435" s="14">
        <v>250</v>
      </c>
      <c r="D2435" s="15">
        <v>0</v>
      </c>
    </row>
    <row r="2436" spans="1:4" x14ac:dyDescent="0.2">
      <c r="A2436" s="14">
        <v>1436</v>
      </c>
      <c r="B2436" s="29">
        <v>1</v>
      </c>
      <c r="C2436" s="14">
        <v>250</v>
      </c>
      <c r="D2436" s="15">
        <v>0</v>
      </c>
    </row>
    <row r="2437" spans="1:4" x14ac:dyDescent="0.2">
      <c r="A2437" s="14">
        <v>1437</v>
      </c>
      <c r="B2437" s="29">
        <v>1</v>
      </c>
      <c r="C2437" s="14">
        <v>250</v>
      </c>
      <c r="D2437" s="15">
        <f>92.90481-21</f>
        <v>71.904809999999998</v>
      </c>
    </row>
    <row r="2438" spans="1:4" x14ac:dyDescent="0.2">
      <c r="A2438" s="14">
        <v>1438</v>
      </c>
      <c r="B2438" s="29">
        <v>1</v>
      </c>
      <c r="C2438" s="14">
        <v>630</v>
      </c>
      <c r="D2438" s="15">
        <v>204.365475</v>
      </c>
    </row>
    <row r="2439" spans="1:4" x14ac:dyDescent="0.2">
      <c r="A2439" s="14">
        <v>1438</v>
      </c>
      <c r="B2439" s="29">
        <v>2</v>
      </c>
      <c r="C2439" s="14">
        <v>630</v>
      </c>
      <c r="D2439" s="15">
        <f>247.40874-9</f>
        <v>238.40873999999999</v>
      </c>
    </row>
    <row r="2440" spans="1:4" x14ac:dyDescent="0.2">
      <c r="A2440" s="14">
        <v>1439</v>
      </c>
      <c r="B2440" s="29">
        <v>1</v>
      </c>
      <c r="C2440" s="14">
        <v>180</v>
      </c>
      <c r="D2440" s="15">
        <v>81</v>
      </c>
    </row>
    <row r="2441" spans="1:4" x14ac:dyDescent="0.2">
      <c r="A2441" s="14">
        <v>1439</v>
      </c>
      <c r="B2441" s="29">
        <v>2</v>
      </c>
      <c r="C2441" s="14">
        <v>180</v>
      </c>
      <c r="D2441" s="15">
        <v>39.140054999999997</v>
      </c>
    </row>
    <row r="2442" spans="1:4" x14ac:dyDescent="0.2">
      <c r="A2442" s="14">
        <v>1440</v>
      </c>
      <c r="B2442" s="29">
        <v>1</v>
      </c>
      <c r="C2442" s="14">
        <v>250</v>
      </c>
      <c r="D2442" s="15">
        <f>158-9-8.1-3-3</f>
        <v>134.9</v>
      </c>
    </row>
    <row r="2443" spans="1:4" x14ac:dyDescent="0.2">
      <c r="A2443" s="14">
        <v>1441</v>
      </c>
      <c r="B2443" s="29">
        <v>1</v>
      </c>
      <c r="C2443" s="14">
        <v>250</v>
      </c>
      <c r="D2443" s="15">
        <v>112.5</v>
      </c>
    </row>
    <row r="2444" spans="1:4" x14ac:dyDescent="0.2">
      <c r="A2444" s="14">
        <v>1441</v>
      </c>
      <c r="B2444" s="29">
        <v>2</v>
      </c>
      <c r="C2444" s="14">
        <v>250</v>
      </c>
      <c r="D2444" s="15">
        <v>112.5</v>
      </c>
    </row>
    <row r="2445" spans="1:4" x14ac:dyDescent="0.2">
      <c r="A2445" s="14">
        <v>1442</v>
      </c>
      <c r="B2445" s="29">
        <v>1</v>
      </c>
      <c r="C2445" s="14">
        <v>400</v>
      </c>
      <c r="D2445" s="15">
        <v>159.04119</v>
      </c>
    </row>
    <row r="2446" spans="1:4" x14ac:dyDescent="0.2">
      <c r="A2446" s="14">
        <v>1443</v>
      </c>
      <c r="B2446" s="29">
        <v>1</v>
      </c>
      <c r="C2446" s="14">
        <v>400</v>
      </c>
      <c r="D2446" s="15">
        <f>159.5137725-58.8</f>
        <v>100.71377249999999</v>
      </c>
    </row>
    <row r="2447" spans="1:4" x14ac:dyDescent="0.2">
      <c r="A2447" s="14">
        <v>1443</v>
      </c>
      <c r="B2447" s="29">
        <v>2</v>
      </c>
      <c r="C2447" s="14">
        <v>400</v>
      </c>
      <c r="D2447" s="15">
        <f>145.0181025-58.8</f>
        <v>86.218102500000001</v>
      </c>
    </row>
    <row r="2448" spans="1:4" x14ac:dyDescent="0.2">
      <c r="A2448" s="14">
        <v>1444</v>
      </c>
      <c r="B2448" s="29">
        <v>1</v>
      </c>
      <c r="C2448" s="14">
        <v>400</v>
      </c>
      <c r="D2448" s="15">
        <f>89.08158-3-6.3-6.6</f>
        <v>73.181580000000011</v>
      </c>
    </row>
    <row r="2449" spans="1:4" x14ac:dyDescent="0.2">
      <c r="A2449" s="14">
        <v>1444</v>
      </c>
      <c r="B2449" s="29">
        <v>2</v>
      </c>
      <c r="C2449" s="14">
        <v>630</v>
      </c>
      <c r="D2449" s="15">
        <f>238.53384-9-6-4.5-9-6.3</f>
        <v>203.73383999999999</v>
      </c>
    </row>
    <row r="2450" spans="1:4" x14ac:dyDescent="0.2">
      <c r="A2450" s="14">
        <v>1445</v>
      </c>
      <c r="B2450" s="29">
        <v>1</v>
      </c>
      <c r="C2450" s="14">
        <v>250</v>
      </c>
      <c r="D2450" s="15">
        <f>129.78495-9-7.2</f>
        <v>113.58495000000001</v>
      </c>
    </row>
    <row r="2451" spans="1:4" x14ac:dyDescent="0.2">
      <c r="A2451" s="14">
        <v>1446</v>
      </c>
      <c r="B2451" s="29">
        <v>1</v>
      </c>
      <c r="C2451" s="14">
        <v>400</v>
      </c>
      <c r="D2451" s="15">
        <v>180</v>
      </c>
    </row>
    <row r="2452" spans="1:4" x14ac:dyDescent="0.2">
      <c r="A2452" s="14">
        <v>1446</v>
      </c>
      <c r="B2452" s="29">
        <v>2</v>
      </c>
      <c r="C2452" s="14">
        <v>400</v>
      </c>
      <c r="D2452" s="15">
        <v>146</v>
      </c>
    </row>
    <row r="2453" spans="1:4" x14ac:dyDescent="0.2">
      <c r="A2453" s="14">
        <v>1447</v>
      </c>
      <c r="B2453" s="29">
        <v>1</v>
      </c>
      <c r="C2453" s="14">
        <v>250</v>
      </c>
      <c r="D2453" s="15">
        <f>100.30056-12-3.6-3.3-6.6</f>
        <v>74.800560000000019</v>
      </c>
    </row>
    <row r="2454" spans="1:4" x14ac:dyDescent="0.2">
      <c r="A2454" s="14">
        <v>1448</v>
      </c>
      <c r="B2454" s="29">
        <v>1</v>
      </c>
      <c r="C2454" s="14">
        <v>400</v>
      </c>
      <c r="D2454" s="15">
        <f>184.28535-6-2.7-5.4-18-3-1.2-60</f>
        <v>87.985350000000011</v>
      </c>
    </row>
    <row r="2455" spans="1:4" x14ac:dyDescent="0.2">
      <c r="A2455" s="14">
        <v>1449</v>
      </c>
      <c r="B2455" s="29">
        <v>1</v>
      </c>
      <c r="C2455" s="14">
        <v>200</v>
      </c>
      <c r="D2455" s="15">
        <f>87.06426-8.22-9</f>
        <v>69.844260000000006</v>
      </c>
    </row>
    <row r="2456" spans="1:4" x14ac:dyDescent="0.2">
      <c r="A2456" s="14">
        <v>1450</v>
      </c>
      <c r="B2456" s="29">
        <v>1</v>
      </c>
      <c r="C2456" s="14">
        <v>630</v>
      </c>
      <c r="D2456" s="15">
        <v>273.07199250000002</v>
      </c>
    </row>
    <row r="2457" spans="1:4" x14ac:dyDescent="0.2">
      <c r="A2457" s="14">
        <v>1450</v>
      </c>
      <c r="B2457" s="29">
        <v>2</v>
      </c>
      <c r="C2457" s="14">
        <v>630</v>
      </c>
      <c r="D2457" s="15">
        <v>238.90362750000003</v>
      </c>
    </row>
    <row r="2458" spans="1:4" x14ac:dyDescent="0.2">
      <c r="A2458" s="14">
        <v>1451</v>
      </c>
      <c r="B2458" s="29">
        <v>1</v>
      </c>
      <c r="C2458" s="14">
        <v>250</v>
      </c>
      <c r="D2458" s="15">
        <f>117.75453-9</f>
        <v>108.75453</v>
      </c>
    </row>
    <row r="2459" spans="1:4" x14ac:dyDescent="0.2">
      <c r="A2459" s="14">
        <v>1452</v>
      </c>
      <c r="B2459" s="29">
        <v>1</v>
      </c>
      <c r="C2459" s="14">
        <v>180</v>
      </c>
      <c r="D2459" s="15">
        <f>77.13507-9-0.12-6.54-6-9-8.4</f>
        <v>38.075069999999997</v>
      </c>
    </row>
    <row r="2460" spans="1:4" x14ac:dyDescent="0.2">
      <c r="A2460" s="14">
        <v>1453</v>
      </c>
      <c r="B2460" s="29">
        <v>1</v>
      </c>
      <c r="C2460" s="14">
        <v>250</v>
      </c>
      <c r="D2460" s="15">
        <f>99.48348-4.6-9</f>
        <v>85.883480000000006</v>
      </c>
    </row>
    <row r="2461" spans="1:4" x14ac:dyDescent="0.2">
      <c r="A2461" s="14">
        <v>1453</v>
      </c>
      <c r="B2461" s="29">
        <v>2</v>
      </c>
      <c r="C2461" s="14">
        <v>400</v>
      </c>
      <c r="D2461" s="15">
        <f>154-57-28.2</f>
        <v>68.8</v>
      </c>
    </row>
    <row r="2462" spans="1:4" x14ac:dyDescent="0.2">
      <c r="A2462" s="14">
        <v>1454</v>
      </c>
      <c r="B2462" s="29">
        <v>1</v>
      </c>
      <c r="C2462" s="14">
        <v>400</v>
      </c>
      <c r="D2462" s="15">
        <f>157.66065-6.6-21-9-10.8-12</f>
        <v>98.260650000000012</v>
      </c>
    </row>
    <row r="2463" spans="1:4" x14ac:dyDescent="0.2">
      <c r="A2463" s="14">
        <v>1455</v>
      </c>
      <c r="B2463" s="29">
        <v>1</v>
      </c>
      <c r="C2463" s="14">
        <v>400</v>
      </c>
      <c r="D2463" s="15">
        <f>176.84448-31.5</f>
        <v>145.34448</v>
      </c>
    </row>
    <row r="2464" spans="1:4" x14ac:dyDescent="0.2">
      <c r="A2464" s="14">
        <v>1455</v>
      </c>
      <c r="B2464" s="29">
        <v>2</v>
      </c>
      <c r="C2464" s="14">
        <v>400</v>
      </c>
      <c r="D2464" s="15">
        <f>177.0417-7-31.5</f>
        <v>138.54169999999999</v>
      </c>
    </row>
    <row r="2465" spans="1:4" x14ac:dyDescent="0.2">
      <c r="A2465" s="17">
        <v>1456</v>
      </c>
      <c r="B2465" s="29">
        <v>1</v>
      </c>
      <c r="C2465" s="17">
        <v>630</v>
      </c>
      <c r="D2465" s="15">
        <f>152.94036-0.06</f>
        <v>152.88036</v>
      </c>
    </row>
    <row r="2466" spans="1:4" x14ac:dyDescent="0.2">
      <c r="A2466" s="17">
        <v>1456</v>
      </c>
      <c r="B2466" s="29">
        <v>2</v>
      </c>
      <c r="C2466" s="17">
        <v>630</v>
      </c>
      <c r="D2466" s="15">
        <f>238.7557125-10.5</f>
        <v>228.25571249999999</v>
      </c>
    </row>
    <row r="2467" spans="1:4" x14ac:dyDescent="0.2">
      <c r="A2467" s="17">
        <v>1457</v>
      </c>
      <c r="B2467" s="29">
        <v>1</v>
      </c>
      <c r="C2467" s="17">
        <v>400</v>
      </c>
      <c r="D2467" s="15">
        <f>151.9701075-103.6</f>
        <v>48.370107500000017</v>
      </c>
    </row>
    <row r="2468" spans="1:4" x14ac:dyDescent="0.2">
      <c r="A2468" s="17">
        <v>1457</v>
      </c>
      <c r="B2468" s="29">
        <v>2</v>
      </c>
      <c r="C2468" s="17">
        <v>400</v>
      </c>
      <c r="D2468" s="15">
        <v>0</v>
      </c>
    </row>
    <row r="2469" spans="1:4" x14ac:dyDescent="0.2">
      <c r="A2469" s="17">
        <v>1458</v>
      </c>
      <c r="B2469" s="29">
        <v>1</v>
      </c>
      <c r="C2469" s="17">
        <v>400</v>
      </c>
      <c r="D2469" s="15">
        <v>165.80016000000001</v>
      </c>
    </row>
    <row r="2470" spans="1:4" x14ac:dyDescent="0.2">
      <c r="A2470" s="17">
        <v>1458</v>
      </c>
      <c r="B2470" s="29">
        <v>2</v>
      </c>
      <c r="C2470" s="17">
        <v>400</v>
      </c>
      <c r="D2470" s="15">
        <v>177.78127499999999</v>
      </c>
    </row>
    <row r="2471" spans="1:4" x14ac:dyDescent="0.2">
      <c r="A2471" s="17">
        <v>1459</v>
      </c>
      <c r="B2471" s="29">
        <v>1</v>
      </c>
      <c r="C2471" s="17">
        <v>400</v>
      </c>
      <c r="D2471" s="15">
        <f>156.777345-22.242-3</f>
        <v>131.53534500000001</v>
      </c>
    </row>
    <row r="2472" spans="1:4" x14ac:dyDescent="0.2">
      <c r="A2472" s="17">
        <v>1459</v>
      </c>
      <c r="B2472" s="29">
        <v>2</v>
      </c>
      <c r="C2472" s="17">
        <v>250</v>
      </c>
      <c r="D2472" s="15">
        <f>52.298595-9-9</f>
        <v>34.298594999999999</v>
      </c>
    </row>
    <row r="2473" spans="1:4" x14ac:dyDescent="0.2">
      <c r="A2473" s="14">
        <v>1460</v>
      </c>
      <c r="B2473" s="29">
        <v>1</v>
      </c>
      <c r="C2473" s="14">
        <v>400</v>
      </c>
      <c r="D2473" s="15">
        <v>159.21794250000002</v>
      </c>
    </row>
    <row r="2474" spans="1:4" x14ac:dyDescent="0.2">
      <c r="A2474" s="14">
        <v>1460</v>
      </c>
      <c r="B2474" s="29">
        <v>2</v>
      </c>
      <c r="C2474" s="14">
        <v>400</v>
      </c>
      <c r="D2474" s="15">
        <v>151.23053250000001</v>
      </c>
    </row>
    <row r="2475" spans="1:4" x14ac:dyDescent="0.2">
      <c r="A2475" s="14">
        <v>1461</v>
      </c>
      <c r="B2475" s="29">
        <v>1</v>
      </c>
      <c r="C2475" s="14">
        <v>400</v>
      </c>
      <c r="D2475" s="15">
        <f>103.67586-1.4-8.4-31.57</f>
        <v>62.305859999999988</v>
      </c>
    </row>
    <row r="2476" spans="1:4" x14ac:dyDescent="0.2">
      <c r="A2476" s="14">
        <v>1461</v>
      </c>
      <c r="B2476" s="29">
        <v>2</v>
      </c>
      <c r="C2476" s="14">
        <v>400</v>
      </c>
      <c r="D2476" s="15">
        <f>153.07947-7</f>
        <v>146.07946999999999</v>
      </c>
    </row>
    <row r="2477" spans="1:4" x14ac:dyDescent="0.2">
      <c r="A2477" s="14">
        <v>1462</v>
      </c>
      <c r="B2477" s="29">
        <v>1</v>
      </c>
      <c r="C2477" s="14">
        <v>250</v>
      </c>
      <c r="D2477" s="15">
        <v>0</v>
      </c>
    </row>
    <row r="2478" spans="1:4" x14ac:dyDescent="0.2">
      <c r="A2478" s="14">
        <v>1462</v>
      </c>
      <c r="B2478" s="29">
        <v>2</v>
      </c>
      <c r="C2478" s="14">
        <v>400</v>
      </c>
      <c r="D2478" s="15">
        <f>163.3595625-7-4.2-10.5-9.1-10.5-10.5-10.5-8.05-10.5-10.5-10.5-7-10.5-7-10.5-3.5</f>
        <v>23.00956250000003</v>
      </c>
    </row>
    <row r="2479" spans="1:4" x14ac:dyDescent="0.2">
      <c r="A2479" s="14">
        <v>1463</v>
      </c>
      <c r="B2479" s="29">
        <v>1</v>
      </c>
      <c r="C2479" s="14">
        <v>400</v>
      </c>
      <c r="D2479" s="15">
        <v>169.71990750000001</v>
      </c>
    </row>
    <row r="2480" spans="1:4" x14ac:dyDescent="0.2">
      <c r="A2480" s="14">
        <v>1463</v>
      </c>
      <c r="B2480" s="29">
        <v>2</v>
      </c>
      <c r="C2480" s="14">
        <v>400</v>
      </c>
      <c r="D2480" s="15">
        <v>159.21794250000002</v>
      </c>
    </row>
    <row r="2481" spans="1:4" x14ac:dyDescent="0.2">
      <c r="A2481" s="14">
        <v>1464</v>
      </c>
      <c r="B2481" s="29">
        <v>1</v>
      </c>
      <c r="C2481" s="14">
        <v>400</v>
      </c>
      <c r="D2481" s="15">
        <v>166.98348000000001</v>
      </c>
    </row>
    <row r="2482" spans="1:4" x14ac:dyDescent="0.2">
      <c r="A2482" s="14">
        <v>1464</v>
      </c>
      <c r="B2482" s="29">
        <v>2</v>
      </c>
      <c r="C2482" s="14">
        <v>400</v>
      </c>
      <c r="D2482" s="15">
        <v>153.96696</v>
      </c>
    </row>
    <row r="2483" spans="1:4" x14ac:dyDescent="0.2">
      <c r="A2483" s="14">
        <v>1465</v>
      </c>
      <c r="B2483" s="29">
        <v>1</v>
      </c>
      <c r="C2483" s="14">
        <v>400</v>
      </c>
      <c r="D2483" s="15">
        <v>167.08209000000002</v>
      </c>
    </row>
    <row r="2484" spans="1:4" x14ac:dyDescent="0.2">
      <c r="A2484" s="14">
        <v>1465</v>
      </c>
      <c r="B2484" s="29">
        <v>2</v>
      </c>
      <c r="C2484" s="14">
        <v>400</v>
      </c>
      <c r="D2484" s="15">
        <v>176.25282000000001</v>
      </c>
    </row>
    <row r="2485" spans="1:4" x14ac:dyDescent="0.2">
      <c r="A2485" s="14">
        <v>1466</v>
      </c>
      <c r="B2485" s="29">
        <v>1</v>
      </c>
      <c r="C2485" s="14">
        <v>250</v>
      </c>
      <c r="D2485" s="15">
        <f>73.54905-22-33-8.25</f>
        <v>10.299049999999994</v>
      </c>
    </row>
    <row r="2486" spans="1:4" x14ac:dyDescent="0.2">
      <c r="A2486" s="14">
        <v>1466</v>
      </c>
      <c r="B2486" s="29">
        <v>2</v>
      </c>
      <c r="C2486" s="14">
        <v>250</v>
      </c>
      <c r="D2486" s="15">
        <f>84.79059-8.25-6.05-13.75</f>
        <v>56.740589999999997</v>
      </c>
    </row>
    <row r="2487" spans="1:4" x14ac:dyDescent="0.2">
      <c r="A2487" s="14">
        <v>1467</v>
      </c>
      <c r="B2487" s="29">
        <v>1</v>
      </c>
      <c r="C2487" s="14">
        <v>400</v>
      </c>
      <c r="D2487" s="15">
        <f>157.51692-11.5</f>
        <v>146.01692</v>
      </c>
    </row>
    <row r="2488" spans="1:4" x14ac:dyDescent="0.2">
      <c r="A2488" s="14">
        <v>1467</v>
      </c>
      <c r="B2488" s="29">
        <v>2</v>
      </c>
      <c r="C2488" s="14">
        <v>250</v>
      </c>
      <c r="D2488" s="15">
        <f>97.41267-3-11.5</f>
        <v>82.912670000000006</v>
      </c>
    </row>
    <row r="2489" spans="1:4" x14ac:dyDescent="0.2">
      <c r="A2489" s="14">
        <v>1468</v>
      </c>
      <c r="B2489" s="29">
        <v>1</v>
      </c>
      <c r="C2489" s="14">
        <v>1000</v>
      </c>
      <c r="D2489" s="15">
        <f>371.80227-155.1-6</f>
        <v>210.70227000000003</v>
      </c>
    </row>
    <row r="2490" spans="1:4" x14ac:dyDescent="0.2">
      <c r="A2490" s="14">
        <v>1468</v>
      </c>
      <c r="B2490" s="29">
        <v>2</v>
      </c>
      <c r="C2490" s="14">
        <v>1000</v>
      </c>
      <c r="D2490" s="15">
        <f>435.50433-155.1</f>
        <v>280.40432999999996</v>
      </c>
    </row>
    <row r="2491" spans="1:4" x14ac:dyDescent="0.2">
      <c r="A2491" s="14">
        <v>1469</v>
      </c>
      <c r="B2491" s="29">
        <v>1</v>
      </c>
      <c r="C2491" s="14">
        <v>400</v>
      </c>
      <c r="D2491" s="15">
        <f>189.7089-1.4</f>
        <v>188.30889999999999</v>
      </c>
    </row>
    <row r="2492" spans="1:4" x14ac:dyDescent="0.2">
      <c r="A2492" s="14">
        <v>1470</v>
      </c>
      <c r="B2492" s="29">
        <v>1</v>
      </c>
      <c r="C2492" s="14">
        <v>630</v>
      </c>
      <c r="D2492" s="15">
        <f>266.8595625-104</f>
        <v>162.85956249999998</v>
      </c>
    </row>
    <row r="2493" spans="1:4" x14ac:dyDescent="0.2">
      <c r="A2493" s="14">
        <v>1470</v>
      </c>
      <c r="B2493" s="29">
        <v>2</v>
      </c>
      <c r="C2493" s="14">
        <v>630</v>
      </c>
      <c r="D2493" s="15">
        <f>281.577105-104</f>
        <v>177.57710500000002</v>
      </c>
    </row>
    <row r="2494" spans="1:4" x14ac:dyDescent="0.2">
      <c r="A2494" s="14">
        <v>1471</v>
      </c>
      <c r="B2494" s="29">
        <v>1</v>
      </c>
      <c r="C2494" s="14">
        <v>250</v>
      </c>
      <c r="D2494" s="15">
        <v>0</v>
      </c>
    </row>
    <row r="2495" spans="1:4" x14ac:dyDescent="0.2">
      <c r="A2495" s="14">
        <v>1471</v>
      </c>
      <c r="B2495" s="29">
        <v>2</v>
      </c>
      <c r="C2495" s="14">
        <v>250</v>
      </c>
      <c r="D2495" s="15">
        <v>0</v>
      </c>
    </row>
    <row r="2496" spans="1:4" x14ac:dyDescent="0.2">
      <c r="A2496" s="14">
        <v>1472</v>
      </c>
      <c r="B2496" s="29">
        <v>1</v>
      </c>
      <c r="C2496" s="14">
        <v>400</v>
      </c>
      <c r="D2496" s="15">
        <f>85.77396-35-10.5-3.85-7-9.8-3.15</f>
        <v>16.473960000000002</v>
      </c>
    </row>
    <row r="2497" spans="1:4" x14ac:dyDescent="0.2">
      <c r="A2497" s="23">
        <v>1473</v>
      </c>
      <c r="B2497" s="39">
        <v>1</v>
      </c>
      <c r="C2497" s="23">
        <v>400</v>
      </c>
      <c r="D2497" s="15">
        <f>160.32312-6.65-2.1-10.5-10.5</f>
        <v>130.57311999999999</v>
      </c>
    </row>
    <row r="2498" spans="1:4" x14ac:dyDescent="0.2">
      <c r="A2498" s="14">
        <v>1474</v>
      </c>
      <c r="B2498" s="29">
        <v>1</v>
      </c>
      <c r="C2498" s="14">
        <v>400</v>
      </c>
      <c r="D2498" s="15">
        <f>123.69369-10.5</f>
        <v>113.19369</v>
      </c>
    </row>
    <row r="2499" spans="1:4" x14ac:dyDescent="0.2">
      <c r="A2499" s="23">
        <v>1474</v>
      </c>
      <c r="B2499" s="39">
        <v>2</v>
      </c>
      <c r="C2499" s="23">
        <v>400</v>
      </c>
      <c r="D2499" s="15">
        <f>139.17546-7.7</f>
        <v>131.47546</v>
      </c>
    </row>
    <row r="2500" spans="1:4" x14ac:dyDescent="0.2">
      <c r="A2500" s="23">
        <v>1475</v>
      </c>
      <c r="B2500" s="39">
        <v>1</v>
      </c>
      <c r="C2500" s="23">
        <v>400</v>
      </c>
      <c r="D2500" s="15">
        <f>192.86442-18-40.2-5.4</f>
        <v>129.26442</v>
      </c>
    </row>
    <row r="2501" spans="1:4" x14ac:dyDescent="0.2">
      <c r="A2501" s="23">
        <v>1477</v>
      </c>
      <c r="B2501" s="39">
        <v>1</v>
      </c>
      <c r="C2501" s="23">
        <v>1000</v>
      </c>
      <c r="D2501" s="15">
        <v>450</v>
      </c>
    </row>
    <row r="2502" spans="1:4" x14ac:dyDescent="0.2">
      <c r="A2502" s="23">
        <v>1477</v>
      </c>
      <c r="B2502" s="39">
        <v>2</v>
      </c>
      <c r="C2502" s="23">
        <v>1000</v>
      </c>
      <c r="D2502" s="15">
        <v>450</v>
      </c>
    </row>
    <row r="2503" spans="1:4" x14ac:dyDescent="0.2">
      <c r="A2503" s="14">
        <v>1476</v>
      </c>
      <c r="B2503" s="29">
        <v>1</v>
      </c>
      <c r="C2503" s="14">
        <v>400</v>
      </c>
      <c r="D2503" s="15">
        <v>166.68765000000002</v>
      </c>
    </row>
    <row r="2504" spans="1:4" x14ac:dyDescent="0.2">
      <c r="A2504" s="14">
        <v>1476</v>
      </c>
      <c r="B2504" s="29">
        <v>2</v>
      </c>
      <c r="C2504" s="14">
        <v>400</v>
      </c>
      <c r="D2504" s="15">
        <f>119.65068-7.8-6</f>
        <v>105.85068</v>
      </c>
    </row>
    <row r="2505" spans="1:4" x14ac:dyDescent="0.2">
      <c r="A2505" s="14">
        <v>1478</v>
      </c>
      <c r="B2505" s="29">
        <v>1</v>
      </c>
      <c r="C2505" s="14">
        <v>630</v>
      </c>
      <c r="D2505" s="15">
        <f>251.994105-9-18-9</f>
        <v>215.99410499999999</v>
      </c>
    </row>
    <row r="2506" spans="1:4" x14ac:dyDescent="0.2">
      <c r="A2506" s="14">
        <v>1478</v>
      </c>
      <c r="B2506" s="29">
        <v>2</v>
      </c>
      <c r="C2506" s="14">
        <v>630</v>
      </c>
      <c r="D2506" s="15">
        <v>274.47718500000002</v>
      </c>
    </row>
    <row r="2507" spans="1:4" x14ac:dyDescent="0.2">
      <c r="A2507" s="14">
        <v>1479</v>
      </c>
      <c r="B2507" s="29">
        <v>1</v>
      </c>
      <c r="C2507" s="14">
        <v>250</v>
      </c>
      <c r="D2507" s="15">
        <f>87.35445-9-30-18</f>
        <v>30.35445</v>
      </c>
    </row>
    <row r="2508" spans="1:4" x14ac:dyDescent="0.2">
      <c r="A2508" s="14">
        <v>1479</v>
      </c>
      <c r="B2508" s="29">
        <v>2</v>
      </c>
      <c r="C2508" s="14">
        <v>250</v>
      </c>
      <c r="D2508" s="15">
        <f>97.9303725-30-9-30-9</f>
        <v>19.930372500000004</v>
      </c>
    </row>
    <row r="2509" spans="1:4" x14ac:dyDescent="0.2">
      <c r="A2509" s="14">
        <v>1480</v>
      </c>
      <c r="B2509" s="29">
        <v>1</v>
      </c>
      <c r="C2509" s="14">
        <v>630</v>
      </c>
      <c r="D2509" s="15">
        <f>212.5008-9.6-30-9-8.25</f>
        <v>155.6508</v>
      </c>
    </row>
    <row r="2510" spans="1:4" x14ac:dyDescent="0.2">
      <c r="A2510" s="14">
        <v>1480</v>
      </c>
      <c r="B2510" s="29">
        <v>2</v>
      </c>
      <c r="C2510" s="14">
        <v>630</v>
      </c>
      <c r="D2510" s="15">
        <f>260.7950475-9-15-9.6</f>
        <v>227.19504750000002</v>
      </c>
    </row>
    <row r="2511" spans="1:4" x14ac:dyDescent="0.2">
      <c r="A2511" s="14">
        <v>1481</v>
      </c>
      <c r="B2511" s="29">
        <v>1</v>
      </c>
      <c r="C2511" s="14">
        <v>400</v>
      </c>
      <c r="D2511" s="15">
        <f>118-17.5-14.85</f>
        <v>85.65</v>
      </c>
    </row>
    <row r="2512" spans="1:4" x14ac:dyDescent="0.2">
      <c r="A2512" s="14">
        <v>1481</v>
      </c>
      <c r="B2512" s="29">
        <v>2</v>
      </c>
      <c r="C2512" s="14">
        <v>400</v>
      </c>
      <c r="D2512" s="15">
        <f>148.34619-8.4</f>
        <v>139.94619</v>
      </c>
    </row>
    <row r="2513" spans="1:4" x14ac:dyDescent="0.2">
      <c r="A2513" s="14">
        <v>1482</v>
      </c>
      <c r="B2513" s="29">
        <v>1</v>
      </c>
      <c r="C2513" s="14">
        <v>400</v>
      </c>
      <c r="D2513" s="15">
        <f>159.5137725-15.4</f>
        <v>144.11377249999998</v>
      </c>
    </row>
    <row r="2514" spans="1:4" x14ac:dyDescent="0.2">
      <c r="A2514" s="14">
        <v>1482</v>
      </c>
      <c r="B2514" s="29">
        <v>2</v>
      </c>
      <c r="C2514" s="14">
        <v>400</v>
      </c>
      <c r="D2514" s="15">
        <f>125.56728-5.5-11.5-10.5</f>
        <v>98.067279999999997</v>
      </c>
    </row>
    <row r="2515" spans="1:4" x14ac:dyDescent="0.2">
      <c r="A2515" s="14">
        <v>1483</v>
      </c>
      <c r="B2515" s="29">
        <v>1</v>
      </c>
      <c r="C2515" s="14">
        <v>320</v>
      </c>
      <c r="D2515" s="15">
        <f>129.28404-7.43</f>
        <v>121.85404</v>
      </c>
    </row>
    <row r="2516" spans="1:4" x14ac:dyDescent="0.2">
      <c r="A2516" s="14">
        <v>1484</v>
      </c>
      <c r="B2516" s="29">
        <v>1</v>
      </c>
      <c r="C2516" s="14">
        <v>630</v>
      </c>
      <c r="D2516" s="15">
        <f>224.75-10.5-8.54-8.25</f>
        <v>197.46</v>
      </c>
    </row>
    <row r="2517" spans="1:4" x14ac:dyDescent="0.2">
      <c r="A2517" s="14">
        <v>1484</v>
      </c>
      <c r="B2517" s="29">
        <v>2</v>
      </c>
      <c r="C2517" s="14">
        <v>630</v>
      </c>
      <c r="D2517" s="15">
        <v>210.92304000000001</v>
      </c>
    </row>
    <row r="2518" spans="1:4" x14ac:dyDescent="0.2">
      <c r="A2518" s="14">
        <v>1485</v>
      </c>
      <c r="B2518" s="29">
        <v>1</v>
      </c>
      <c r="C2518" s="14">
        <v>400</v>
      </c>
      <c r="D2518" s="15">
        <f>161.65854-4.4</f>
        <v>157.25853999999998</v>
      </c>
    </row>
    <row r="2519" spans="1:4" x14ac:dyDescent="0.2">
      <c r="A2519" s="14">
        <v>1485</v>
      </c>
      <c r="B2519" s="29">
        <v>2</v>
      </c>
      <c r="C2519" s="14">
        <v>400</v>
      </c>
      <c r="D2519" s="15">
        <v>124.82770500000001</v>
      </c>
    </row>
    <row r="2520" spans="1:4" x14ac:dyDescent="0.2">
      <c r="A2520" s="14">
        <v>1486</v>
      </c>
      <c r="B2520" s="29">
        <v>1</v>
      </c>
      <c r="C2520" s="14">
        <v>250</v>
      </c>
      <c r="D2520" s="15">
        <f>110.0594025-5.5-22-38.5</f>
        <v>44.059402500000004</v>
      </c>
    </row>
    <row r="2521" spans="1:4" x14ac:dyDescent="0.2">
      <c r="A2521" s="14">
        <v>1486</v>
      </c>
      <c r="B2521" s="29">
        <v>2</v>
      </c>
      <c r="C2521" s="14">
        <v>250</v>
      </c>
      <c r="D2521" s="15">
        <v>99.335565000000003</v>
      </c>
    </row>
    <row r="2522" spans="1:4" x14ac:dyDescent="0.2">
      <c r="A2522" s="14">
        <v>1487</v>
      </c>
      <c r="B2522" s="29">
        <v>1</v>
      </c>
      <c r="C2522" s="14">
        <v>320</v>
      </c>
      <c r="D2522" s="15">
        <f>109.239975-17.5</f>
        <v>91.739975000000001</v>
      </c>
    </row>
    <row r="2523" spans="1:4" x14ac:dyDescent="0.2">
      <c r="A2523" s="14">
        <v>1487</v>
      </c>
      <c r="B2523" s="29">
        <v>2</v>
      </c>
      <c r="C2523" s="14">
        <v>320</v>
      </c>
      <c r="D2523" s="15">
        <f>126.34881-7.56-17.5-17.5</f>
        <v>83.788809999999998</v>
      </c>
    </row>
    <row r="2524" spans="1:4" x14ac:dyDescent="0.2">
      <c r="A2524" s="14">
        <v>1488</v>
      </c>
      <c r="B2524" s="29">
        <v>1</v>
      </c>
      <c r="C2524" s="14">
        <v>250</v>
      </c>
      <c r="D2524" s="15">
        <f>150-10.5-21-21-10.5-21-10.5-10.5-10.5-21-10.5</f>
        <v>3</v>
      </c>
    </row>
    <row r="2525" spans="1:4" x14ac:dyDescent="0.2">
      <c r="A2525" s="14">
        <v>1489</v>
      </c>
      <c r="B2525" s="29">
        <v>1</v>
      </c>
      <c r="C2525" s="14">
        <v>630</v>
      </c>
      <c r="D2525" s="15">
        <f>244-21</f>
        <v>223</v>
      </c>
    </row>
    <row r="2526" spans="1:4" x14ac:dyDescent="0.2">
      <c r="A2526" s="14">
        <v>1489</v>
      </c>
      <c r="B2526" s="29">
        <v>2</v>
      </c>
      <c r="C2526" s="14">
        <v>630</v>
      </c>
      <c r="D2526" s="15">
        <f>264.6408375-10.5</f>
        <v>254.14083749999998</v>
      </c>
    </row>
    <row r="2527" spans="1:4" x14ac:dyDescent="0.2">
      <c r="A2527" s="14">
        <v>1490</v>
      </c>
      <c r="B2527" s="29">
        <v>1</v>
      </c>
      <c r="C2527" s="14">
        <v>400</v>
      </c>
      <c r="D2527" s="15">
        <f>128.22975-52.5-14-10.5</f>
        <v>51.229749999999996</v>
      </c>
    </row>
    <row r="2528" spans="1:4" x14ac:dyDescent="0.2">
      <c r="A2528" s="14">
        <v>1490</v>
      </c>
      <c r="B2528" s="29">
        <v>2</v>
      </c>
      <c r="C2528" s="14">
        <v>400</v>
      </c>
      <c r="D2528" s="15">
        <f>131.040135-10.5-21</f>
        <v>99.540134999999992</v>
      </c>
    </row>
    <row r="2529" spans="1:4" x14ac:dyDescent="0.2">
      <c r="A2529" s="14">
        <v>1491</v>
      </c>
      <c r="B2529" s="29">
        <v>1</v>
      </c>
      <c r="C2529" s="14">
        <v>400</v>
      </c>
      <c r="D2529" s="15">
        <v>0</v>
      </c>
    </row>
    <row r="2530" spans="1:4" x14ac:dyDescent="0.2">
      <c r="A2530" s="14">
        <v>1491</v>
      </c>
      <c r="B2530" s="29">
        <v>2</v>
      </c>
      <c r="C2530" s="14">
        <v>400</v>
      </c>
      <c r="D2530" s="15">
        <v>0</v>
      </c>
    </row>
    <row r="2531" spans="1:4" x14ac:dyDescent="0.2">
      <c r="A2531" s="14">
        <v>1492</v>
      </c>
      <c r="B2531" s="29">
        <v>1</v>
      </c>
      <c r="C2531" s="14">
        <v>400</v>
      </c>
      <c r="D2531" s="15">
        <f>152.19198-7-10.5</f>
        <v>134.69198</v>
      </c>
    </row>
    <row r="2532" spans="1:4" x14ac:dyDescent="0.2">
      <c r="A2532" s="14">
        <v>1492</v>
      </c>
      <c r="B2532" s="29">
        <v>2</v>
      </c>
      <c r="C2532" s="14">
        <v>400</v>
      </c>
      <c r="D2532" s="15">
        <f>153.47391-10.5</f>
        <v>142.97390999999999</v>
      </c>
    </row>
    <row r="2533" spans="1:4" x14ac:dyDescent="0.2">
      <c r="A2533" s="14">
        <v>1493</v>
      </c>
      <c r="B2533" s="29">
        <v>1</v>
      </c>
      <c r="C2533" s="14">
        <v>250</v>
      </c>
      <c r="D2533" s="15">
        <f>99.77931-5.6</f>
        <v>94.179310000000001</v>
      </c>
    </row>
    <row r="2534" spans="1:4" x14ac:dyDescent="0.2">
      <c r="A2534" s="14">
        <v>1493</v>
      </c>
      <c r="B2534" s="29">
        <v>2</v>
      </c>
      <c r="C2534" s="14">
        <v>250</v>
      </c>
      <c r="D2534" s="15">
        <v>89.228040000000007</v>
      </c>
    </row>
    <row r="2535" spans="1:4" x14ac:dyDescent="0.2">
      <c r="A2535" s="14">
        <v>1494</v>
      </c>
      <c r="B2535" s="29">
        <v>1</v>
      </c>
      <c r="C2535" s="14">
        <v>250</v>
      </c>
      <c r="D2535" s="15">
        <f>112.5-39</f>
        <v>73.5</v>
      </c>
    </row>
    <row r="2536" spans="1:4" x14ac:dyDescent="0.2">
      <c r="A2536" s="14">
        <v>1494</v>
      </c>
      <c r="B2536" s="29">
        <v>2</v>
      </c>
      <c r="C2536" s="14">
        <v>250</v>
      </c>
      <c r="D2536" s="15">
        <f>83.80449-4.8</f>
        <v>79.004490000000004</v>
      </c>
    </row>
    <row r="2537" spans="1:4" x14ac:dyDescent="0.2">
      <c r="A2537" s="14">
        <v>1495</v>
      </c>
      <c r="B2537" s="29">
        <v>1</v>
      </c>
      <c r="C2537" s="14">
        <v>630</v>
      </c>
      <c r="D2537" s="15">
        <v>284</v>
      </c>
    </row>
    <row r="2538" spans="1:4" x14ac:dyDescent="0.2">
      <c r="A2538" s="14">
        <v>1495</v>
      </c>
      <c r="B2538" s="29">
        <v>2</v>
      </c>
      <c r="C2538" s="14">
        <v>630</v>
      </c>
      <c r="D2538" s="15">
        <v>284</v>
      </c>
    </row>
    <row r="2539" spans="1:4" x14ac:dyDescent="0.2">
      <c r="A2539" s="20">
        <v>1496</v>
      </c>
      <c r="B2539" s="36">
        <v>1</v>
      </c>
      <c r="C2539" s="20">
        <v>400</v>
      </c>
      <c r="D2539" s="15">
        <f>165.948075-3-1</f>
        <v>161.94807499999999</v>
      </c>
    </row>
    <row r="2540" spans="1:4" x14ac:dyDescent="0.2">
      <c r="A2540" s="14">
        <v>1496</v>
      </c>
      <c r="B2540" s="29">
        <v>2</v>
      </c>
      <c r="C2540" s="14">
        <v>400</v>
      </c>
      <c r="D2540" s="15">
        <v>155.88985500000001</v>
      </c>
    </row>
    <row r="2541" spans="1:4" x14ac:dyDescent="0.2">
      <c r="A2541" s="14">
        <v>1497</v>
      </c>
      <c r="B2541" s="29">
        <v>1</v>
      </c>
      <c r="C2541" s="14">
        <v>630</v>
      </c>
      <c r="D2541" s="15">
        <f>284-27</f>
        <v>257</v>
      </c>
    </row>
    <row r="2542" spans="1:4" x14ac:dyDescent="0.2">
      <c r="A2542" s="14">
        <v>1497</v>
      </c>
      <c r="B2542" s="29">
        <v>2</v>
      </c>
      <c r="C2542" s="14">
        <v>630</v>
      </c>
      <c r="D2542" s="15">
        <v>284</v>
      </c>
    </row>
    <row r="2543" spans="1:4" x14ac:dyDescent="0.2">
      <c r="A2543" s="14">
        <v>1498</v>
      </c>
      <c r="B2543" s="29">
        <v>1</v>
      </c>
      <c r="C2543" s="14">
        <v>250</v>
      </c>
      <c r="D2543" s="15">
        <v>113</v>
      </c>
    </row>
    <row r="2544" spans="1:4" x14ac:dyDescent="0.2">
      <c r="A2544" s="14">
        <v>1498</v>
      </c>
      <c r="B2544" s="29">
        <v>2</v>
      </c>
      <c r="C2544" s="14">
        <v>250</v>
      </c>
      <c r="D2544" s="15">
        <v>113</v>
      </c>
    </row>
    <row r="2545" spans="1:4" x14ac:dyDescent="0.2">
      <c r="A2545" s="14">
        <v>1499</v>
      </c>
      <c r="B2545" s="29">
        <v>1</v>
      </c>
      <c r="C2545" s="14">
        <v>250</v>
      </c>
      <c r="D2545" s="15">
        <v>150</v>
      </c>
    </row>
    <row r="2546" spans="1:4" x14ac:dyDescent="0.2">
      <c r="A2546" s="14">
        <v>1509</v>
      </c>
      <c r="B2546" s="29">
        <v>1</v>
      </c>
      <c r="C2546" s="14">
        <v>400</v>
      </c>
      <c r="D2546" s="15">
        <v>0</v>
      </c>
    </row>
    <row r="2547" spans="1:4" x14ac:dyDescent="0.2">
      <c r="A2547" s="14">
        <v>1509</v>
      </c>
      <c r="B2547" s="29">
        <v>2</v>
      </c>
      <c r="C2547" s="14">
        <v>160</v>
      </c>
      <c r="D2547" s="15">
        <f>81-5.5-2.75-5.5-5.5-5.5-3.3-5.5-13.75-5.58-5.5-5.5-8.25-5.5</f>
        <v>3.3700000000000045</v>
      </c>
    </row>
    <row r="2548" spans="1:4" x14ac:dyDescent="0.2">
      <c r="A2548" s="14">
        <v>1516</v>
      </c>
      <c r="B2548" s="29">
        <v>1</v>
      </c>
      <c r="C2548" s="14">
        <v>250</v>
      </c>
      <c r="D2548" s="15">
        <v>113</v>
      </c>
    </row>
    <row r="2549" spans="1:4" x14ac:dyDescent="0.2">
      <c r="A2549" s="14">
        <v>1516</v>
      </c>
      <c r="B2549" s="29">
        <v>2</v>
      </c>
      <c r="C2549" s="14">
        <v>250</v>
      </c>
      <c r="D2549" s="15">
        <v>113</v>
      </c>
    </row>
    <row r="2550" spans="1:4" x14ac:dyDescent="0.2">
      <c r="A2550" s="14">
        <v>1541</v>
      </c>
      <c r="B2550" s="29">
        <v>1</v>
      </c>
      <c r="C2550" s="14">
        <v>400</v>
      </c>
      <c r="D2550" s="15">
        <v>180</v>
      </c>
    </row>
    <row r="2551" spans="1:4" x14ac:dyDescent="0.2">
      <c r="A2551" s="14">
        <v>1541</v>
      </c>
      <c r="B2551" s="29">
        <v>2</v>
      </c>
      <c r="C2551" s="14">
        <v>400</v>
      </c>
      <c r="D2551" s="15">
        <v>180</v>
      </c>
    </row>
    <row r="2552" spans="1:4" x14ac:dyDescent="0.2">
      <c r="A2552" s="14">
        <v>1557</v>
      </c>
      <c r="B2552" s="29">
        <v>1</v>
      </c>
      <c r="C2552" s="14">
        <v>630</v>
      </c>
      <c r="D2552" s="15">
        <v>274</v>
      </c>
    </row>
    <row r="2553" spans="1:4" x14ac:dyDescent="0.2">
      <c r="A2553" s="14">
        <v>1557</v>
      </c>
      <c r="B2553" s="29">
        <v>2</v>
      </c>
      <c r="C2553" s="14">
        <v>630</v>
      </c>
      <c r="D2553" s="15">
        <v>270</v>
      </c>
    </row>
    <row r="2554" spans="1:4" x14ac:dyDescent="0.2">
      <c r="A2554" s="14">
        <v>1564</v>
      </c>
      <c r="B2554" s="29">
        <v>1</v>
      </c>
      <c r="C2554" s="14">
        <v>400</v>
      </c>
      <c r="D2554" s="15">
        <f>180-9-6.36-9-14</f>
        <v>141.63999999999999</v>
      </c>
    </row>
    <row r="2555" spans="1:4" x14ac:dyDescent="0.2">
      <c r="A2555" s="14">
        <v>1564</v>
      </c>
      <c r="B2555" s="29">
        <v>2</v>
      </c>
      <c r="C2555" s="14">
        <v>400</v>
      </c>
      <c r="D2555" s="15">
        <f>180-10.5</f>
        <v>169.5</v>
      </c>
    </row>
    <row r="2556" spans="1:4" x14ac:dyDescent="0.2">
      <c r="A2556" s="14">
        <v>1600</v>
      </c>
      <c r="B2556" s="29">
        <v>1</v>
      </c>
      <c r="C2556" s="14">
        <v>630</v>
      </c>
      <c r="D2556" s="15">
        <v>284</v>
      </c>
    </row>
    <row r="2557" spans="1:4" x14ac:dyDescent="0.2">
      <c r="A2557" s="14">
        <v>1600</v>
      </c>
      <c r="B2557" s="29">
        <v>2</v>
      </c>
      <c r="C2557" s="14">
        <v>630</v>
      </c>
      <c r="D2557" s="15">
        <v>284</v>
      </c>
    </row>
    <row r="2558" spans="1:4" x14ac:dyDescent="0.2">
      <c r="A2558" s="14">
        <v>1604</v>
      </c>
      <c r="B2558" s="29">
        <v>1</v>
      </c>
      <c r="C2558" s="14">
        <v>400</v>
      </c>
      <c r="D2558" s="15">
        <f>180-14.4-7.8</f>
        <v>157.79999999999998</v>
      </c>
    </row>
    <row r="2559" spans="1:4" x14ac:dyDescent="0.2">
      <c r="A2559" s="14">
        <v>1604</v>
      </c>
      <c r="B2559" s="29">
        <v>2</v>
      </c>
      <c r="C2559" s="14">
        <v>400</v>
      </c>
      <c r="D2559" s="15">
        <f>180-9</f>
        <v>171</v>
      </c>
    </row>
    <row r="2560" spans="1:4" x14ac:dyDescent="0.2">
      <c r="A2560" s="14">
        <v>1617</v>
      </c>
      <c r="B2560" s="29">
        <v>1</v>
      </c>
      <c r="C2560" s="14">
        <v>250</v>
      </c>
      <c r="D2560" s="15">
        <v>83.064915000000013</v>
      </c>
    </row>
    <row r="2561" spans="1:4" x14ac:dyDescent="0.2">
      <c r="A2561" s="14">
        <v>1617</v>
      </c>
      <c r="B2561" s="29">
        <v>2</v>
      </c>
      <c r="C2561" s="14">
        <v>250</v>
      </c>
      <c r="D2561" s="15">
        <v>97.560585000000003</v>
      </c>
    </row>
    <row r="2562" spans="1:4" x14ac:dyDescent="0.2">
      <c r="A2562" s="14">
        <v>1622</v>
      </c>
      <c r="B2562" s="29">
        <v>1</v>
      </c>
      <c r="C2562" s="14">
        <v>400</v>
      </c>
      <c r="D2562" s="15">
        <v>172.75216500000002</v>
      </c>
    </row>
    <row r="2563" spans="1:4" x14ac:dyDescent="0.2">
      <c r="A2563" s="14">
        <v>1622</v>
      </c>
      <c r="B2563" s="29">
        <v>2</v>
      </c>
      <c r="C2563" s="14">
        <v>400</v>
      </c>
      <c r="D2563" s="15">
        <v>170.82927000000001</v>
      </c>
    </row>
    <row r="2564" spans="1:4" x14ac:dyDescent="0.2">
      <c r="A2564" s="14">
        <v>1649</v>
      </c>
      <c r="B2564" s="29">
        <v>1</v>
      </c>
      <c r="C2564" s="14">
        <v>400</v>
      </c>
      <c r="D2564" s="15">
        <v>198.18935999999999</v>
      </c>
    </row>
    <row r="2565" spans="1:4" x14ac:dyDescent="0.2">
      <c r="A2565" s="14">
        <v>1650</v>
      </c>
      <c r="B2565" s="29">
        <v>1</v>
      </c>
      <c r="C2565" s="14">
        <v>630</v>
      </c>
      <c r="D2565" s="15">
        <f>293-22-2.75</f>
        <v>268.25</v>
      </c>
    </row>
    <row r="2566" spans="1:4" x14ac:dyDescent="0.2">
      <c r="A2566" s="14">
        <v>1650</v>
      </c>
      <c r="B2566" s="29">
        <v>2</v>
      </c>
      <c r="C2566" s="14">
        <v>630</v>
      </c>
      <c r="D2566" s="15">
        <f>293-275</f>
        <v>18</v>
      </c>
    </row>
    <row r="2567" spans="1:4" x14ac:dyDescent="0.2">
      <c r="A2567" s="14">
        <v>1656</v>
      </c>
      <c r="B2567" s="29">
        <v>1</v>
      </c>
      <c r="C2567" s="14">
        <v>400</v>
      </c>
      <c r="D2567" s="15">
        <v>0</v>
      </c>
    </row>
    <row r="2568" spans="1:4" x14ac:dyDescent="0.2">
      <c r="A2568" s="20">
        <v>1656</v>
      </c>
      <c r="B2568" s="36">
        <v>2</v>
      </c>
      <c r="C2568" s="20">
        <v>400</v>
      </c>
      <c r="D2568" s="15">
        <f>141.4681425-7-105</f>
        <v>29.468142499999999</v>
      </c>
    </row>
    <row r="2569" spans="1:4" x14ac:dyDescent="0.2">
      <c r="A2569" s="14">
        <v>1657</v>
      </c>
      <c r="B2569" s="29">
        <v>1</v>
      </c>
      <c r="C2569" s="14">
        <v>400</v>
      </c>
      <c r="D2569" s="15">
        <v>160.25334750000002</v>
      </c>
    </row>
    <row r="2570" spans="1:4" x14ac:dyDescent="0.2">
      <c r="A2570" s="14">
        <v>1657</v>
      </c>
      <c r="B2570" s="29">
        <v>2</v>
      </c>
      <c r="C2570" s="14">
        <v>400</v>
      </c>
      <c r="D2570" s="15">
        <v>155.74194000000003</v>
      </c>
    </row>
    <row r="2571" spans="1:4" x14ac:dyDescent="0.2">
      <c r="A2571" s="14">
        <v>1658</v>
      </c>
      <c r="B2571" s="29">
        <v>1</v>
      </c>
      <c r="C2571" s="14">
        <v>400</v>
      </c>
      <c r="D2571" s="15">
        <v>152.931555</v>
      </c>
    </row>
    <row r="2572" spans="1:4" x14ac:dyDescent="0.2">
      <c r="A2572" s="14">
        <v>1658</v>
      </c>
      <c r="B2572" s="29">
        <v>2</v>
      </c>
      <c r="C2572" s="14">
        <v>400</v>
      </c>
      <c r="D2572" s="15">
        <v>143.39103750000001</v>
      </c>
    </row>
    <row r="2573" spans="1:4" x14ac:dyDescent="0.2">
      <c r="A2573" s="14">
        <v>1659</v>
      </c>
      <c r="B2573" s="29">
        <v>1</v>
      </c>
      <c r="C2573" s="14">
        <v>400</v>
      </c>
      <c r="D2573" s="15">
        <f>144.5743575-21</f>
        <v>123.57435749999999</v>
      </c>
    </row>
    <row r="2574" spans="1:4" x14ac:dyDescent="0.2">
      <c r="A2574" s="14">
        <v>1659</v>
      </c>
      <c r="B2574" s="29">
        <v>2</v>
      </c>
      <c r="C2574" s="14">
        <v>400</v>
      </c>
      <c r="D2574" s="15">
        <v>135.62549999999999</v>
      </c>
    </row>
    <row r="2575" spans="1:4" x14ac:dyDescent="0.2">
      <c r="A2575" s="14">
        <v>1663</v>
      </c>
      <c r="B2575" s="29">
        <v>1</v>
      </c>
      <c r="C2575" s="14">
        <v>630</v>
      </c>
      <c r="D2575" s="15">
        <f>378-16.5</f>
        <v>361.5</v>
      </c>
    </row>
    <row r="2576" spans="1:4" x14ac:dyDescent="0.2">
      <c r="A2576" s="14">
        <v>1673</v>
      </c>
      <c r="B2576" s="29">
        <v>1</v>
      </c>
      <c r="C2576" s="14">
        <v>1000</v>
      </c>
      <c r="D2576" s="15">
        <v>450</v>
      </c>
    </row>
    <row r="2577" spans="1:4" x14ac:dyDescent="0.2">
      <c r="A2577" s="14">
        <v>1673</v>
      </c>
      <c r="B2577" s="29">
        <v>2</v>
      </c>
      <c r="C2577" s="14">
        <v>1000</v>
      </c>
      <c r="D2577" s="15">
        <v>450</v>
      </c>
    </row>
    <row r="2578" spans="1:4" x14ac:dyDescent="0.2">
      <c r="A2578" s="14">
        <v>1683</v>
      </c>
      <c r="B2578" s="29">
        <v>1</v>
      </c>
      <c r="C2578" s="14">
        <v>400</v>
      </c>
      <c r="D2578" s="15">
        <f>240-11.25</f>
        <v>228.75</v>
      </c>
    </row>
    <row r="2579" spans="1:4" x14ac:dyDescent="0.2">
      <c r="A2579" s="14">
        <v>1719</v>
      </c>
      <c r="B2579" s="29">
        <v>1</v>
      </c>
      <c r="C2579" s="14">
        <v>400</v>
      </c>
      <c r="D2579" s="15">
        <f>164.41962-6</f>
        <v>158.41962000000001</v>
      </c>
    </row>
    <row r="2580" spans="1:4" x14ac:dyDescent="0.2">
      <c r="A2580" s="14">
        <v>1719</v>
      </c>
      <c r="B2580" s="29">
        <v>2</v>
      </c>
      <c r="C2580" s="14">
        <v>400</v>
      </c>
      <c r="D2580" s="15">
        <v>113.43825000000001</v>
      </c>
    </row>
    <row r="2581" spans="1:4" x14ac:dyDescent="0.2">
      <c r="A2581" s="14">
        <v>1735</v>
      </c>
      <c r="B2581" s="29">
        <v>1</v>
      </c>
      <c r="C2581" s="14">
        <v>630</v>
      </c>
      <c r="D2581" s="15">
        <f>284-52.5</f>
        <v>231.5</v>
      </c>
    </row>
    <row r="2582" spans="1:4" x14ac:dyDescent="0.2">
      <c r="A2582" s="14">
        <v>1735</v>
      </c>
      <c r="B2582" s="29">
        <v>2</v>
      </c>
      <c r="C2582" s="14">
        <v>630</v>
      </c>
      <c r="D2582" s="15">
        <f>284-52.5</f>
        <v>231.5</v>
      </c>
    </row>
    <row r="2583" spans="1:4" x14ac:dyDescent="0.2">
      <c r="A2583" s="14">
        <v>1741</v>
      </c>
      <c r="B2583" s="29">
        <v>1</v>
      </c>
      <c r="C2583" s="14">
        <v>630</v>
      </c>
      <c r="D2583" s="15">
        <v>109.25613000000001</v>
      </c>
    </row>
    <row r="2584" spans="1:4" x14ac:dyDescent="0.2">
      <c r="A2584" s="14">
        <v>1741</v>
      </c>
      <c r="B2584" s="29">
        <v>2</v>
      </c>
      <c r="C2584" s="14">
        <v>630</v>
      </c>
      <c r="D2584" s="14">
        <v>284</v>
      </c>
    </row>
    <row r="2585" spans="1:4" x14ac:dyDescent="0.2">
      <c r="A2585" s="14">
        <v>1741</v>
      </c>
      <c r="B2585" s="29">
        <v>3</v>
      </c>
      <c r="C2585" s="14">
        <v>630</v>
      </c>
      <c r="D2585" s="15">
        <f>262.00302-9</f>
        <v>253.00301999999999</v>
      </c>
    </row>
    <row r="2586" spans="1:4" x14ac:dyDescent="0.2">
      <c r="A2586" s="14">
        <v>1758</v>
      </c>
      <c r="B2586" s="29">
        <v>1</v>
      </c>
      <c r="C2586" s="14">
        <v>100</v>
      </c>
      <c r="D2586" s="15">
        <f>50.23761-10.5</f>
        <v>39.737609999999997</v>
      </c>
    </row>
    <row r="2587" spans="1:4" x14ac:dyDescent="0.2">
      <c r="A2587" s="14">
        <v>1765</v>
      </c>
      <c r="B2587" s="29">
        <v>1</v>
      </c>
      <c r="C2587" s="14">
        <v>250</v>
      </c>
      <c r="D2587" s="15">
        <f>137-10.5-10.5-10.5-10.5-10.5</f>
        <v>84.5</v>
      </c>
    </row>
    <row r="2588" spans="1:4" x14ac:dyDescent="0.2">
      <c r="A2588" s="14">
        <v>1783</v>
      </c>
      <c r="B2588" s="29">
        <v>1</v>
      </c>
      <c r="C2588" s="14">
        <v>400</v>
      </c>
      <c r="D2588" s="15">
        <v>180</v>
      </c>
    </row>
    <row r="2589" spans="1:4" x14ac:dyDescent="0.2">
      <c r="A2589" s="14">
        <v>1783</v>
      </c>
      <c r="B2589" s="29">
        <v>2</v>
      </c>
      <c r="C2589" s="14">
        <v>400</v>
      </c>
      <c r="D2589" s="15">
        <v>180</v>
      </c>
    </row>
    <row r="2590" spans="1:4" x14ac:dyDescent="0.2">
      <c r="A2590" s="14">
        <v>1804</v>
      </c>
      <c r="B2590" s="29">
        <v>1</v>
      </c>
      <c r="C2590" s="14">
        <v>320</v>
      </c>
      <c r="D2590" s="15">
        <f>144-60</f>
        <v>84</v>
      </c>
    </row>
    <row r="2591" spans="1:4" x14ac:dyDescent="0.2">
      <c r="A2591" s="14">
        <v>1811</v>
      </c>
      <c r="B2591" s="29">
        <v>1</v>
      </c>
      <c r="C2591" s="14">
        <v>250</v>
      </c>
      <c r="D2591" s="15">
        <f>113-21</f>
        <v>92</v>
      </c>
    </row>
    <row r="2592" spans="1:4" x14ac:dyDescent="0.2">
      <c r="A2592" s="14">
        <v>1811</v>
      </c>
      <c r="B2592" s="29">
        <v>2</v>
      </c>
      <c r="C2592" s="14">
        <v>250</v>
      </c>
      <c r="D2592" s="15">
        <v>113</v>
      </c>
    </row>
    <row r="2593" spans="1:4" x14ac:dyDescent="0.2">
      <c r="A2593" s="14">
        <v>1821</v>
      </c>
      <c r="B2593" s="29">
        <v>1</v>
      </c>
      <c r="C2593" s="14">
        <v>250</v>
      </c>
      <c r="D2593" s="15">
        <v>150</v>
      </c>
    </row>
    <row r="2594" spans="1:4" x14ac:dyDescent="0.2">
      <c r="A2594" s="14">
        <v>1828</v>
      </c>
      <c r="B2594" s="29">
        <v>1</v>
      </c>
      <c r="C2594" s="14">
        <v>630</v>
      </c>
      <c r="D2594" s="15">
        <f>277.12197-9-30</f>
        <v>238.12196999999998</v>
      </c>
    </row>
    <row r="2595" spans="1:4" x14ac:dyDescent="0.2">
      <c r="A2595" s="12">
        <v>1862</v>
      </c>
      <c r="B2595" s="13">
        <v>1</v>
      </c>
      <c r="C2595" s="14">
        <v>250</v>
      </c>
      <c r="D2595" s="15">
        <f>99.38487-48-9-27-1.2</f>
        <v>14.184870000000007</v>
      </c>
    </row>
    <row r="2596" spans="1:4" x14ac:dyDescent="0.2">
      <c r="A2596" s="12">
        <v>1862</v>
      </c>
      <c r="B2596" s="13">
        <v>2</v>
      </c>
      <c r="C2596" s="14">
        <v>250</v>
      </c>
      <c r="D2596" s="15">
        <f>97.41267-48-4.2</f>
        <v>45.212670000000003</v>
      </c>
    </row>
    <row r="2597" spans="1:4" x14ac:dyDescent="0.2">
      <c r="A2597" s="12">
        <v>1870</v>
      </c>
      <c r="B2597" s="40">
        <v>1</v>
      </c>
      <c r="C2597" s="14">
        <v>630</v>
      </c>
      <c r="D2597" s="15">
        <f>224-10.5-10.5</f>
        <v>203</v>
      </c>
    </row>
    <row r="2598" spans="1:4" x14ac:dyDescent="0.2">
      <c r="A2598" s="12">
        <v>1870</v>
      </c>
      <c r="B2598" s="35">
        <v>2</v>
      </c>
      <c r="C2598" s="14">
        <v>630</v>
      </c>
      <c r="D2598" s="15">
        <v>224</v>
      </c>
    </row>
    <row r="2599" spans="1:4" x14ac:dyDescent="0.2">
      <c r="A2599" s="41">
        <v>1894</v>
      </c>
      <c r="B2599" s="42">
        <v>1</v>
      </c>
      <c r="C2599" s="43">
        <v>400</v>
      </c>
      <c r="D2599" s="15">
        <v>121.35170249999999</v>
      </c>
    </row>
    <row r="2600" spans="1:4" x14ac:dyDescent="0.2">
      <c r="A2600" s="41">
        <v>1894</v>
      </c>
      <c r="B2600" s="42">
        <v>2</v>
      </c>
      <c r="C2600" s="43">
        <v>400</v>
      </c>
      <c r="D2600" s="15">
        <f>168.0928425-9</f>
        <v>159.09284249999999</v>
      </c>
    </row>
    <row r="2601" spans="1:4" x14ac:dyDescent="0.2">
      <c r="A2601" s="41">
        <v>1922</v>
      </c>
      <c r="B2601" s="42">
        <v>1</v>
      </c>
      <c r="C2601" s="43">
        <v>160</v>
      </c>
      <c r="D2601" s="15">
        <f>96-8.25-8.25-8.25-8.25-8.25-8.25-8.8-5.78</f>
        <v>31.92</v>
      </c>
    </row>
    <row r="2602" spans="1:4" x14ac:dyDescent="0.2">
      <c r="A2602" s="41">
        <v>1945</v>
      </c>
      <c r="B2602" s="42">
        <v>1</v>
      </c>
      <c r="C2602" s="43">
        <v>630</v>
      </c>
      <c r="D2602" s="15">
        <f>284-6-9</f>
        <v>269</v>
      </c>
    </row>
    <row r="2603" spans="1:4" x14ac:dyDescent="0.2">
      <c r="A2603" s="41">
        <v>1945</v>
      </c>
      <c r="B2603" s="42">
        <v>2</v>
      </c>
      <c r="C2603" s="43">
        <v>630</v>
      </c>
      <c r="D2603" s="15">
        <f>284-9-10.5-9</f>
        <v>255.5</v>
      </c>
    </row>
    <row r="2604" spans="1:4" x14ac:dyDescent="0.2">
      <c r="A2604" s="41">
        <v>1958</v>
      </c>
      <c r="B2604" s="42">
        <v>1</v>
      </c>
      <c r="C2604" s="43">
        <v>250</v>
      </c>
      <c r="D2604" s="15">
        <f>150-7-10.5-10.5-1.4-2.1-7-3.5-3.5-10.5-10.5-21-10.5-7</f>
        <v>45</v>
      </c>
    </row>
    <row r="2605" spans="1:4" x14ac:dyDescent="0.2">
      <c r="A2605" s="41">
        <v>1959</v>
      </c>
      <c r="B2605" s="42">
        <v>1</v>
      </c>
      <c r="C2605" s="43">
        <v>400</v>
      </c>
      <c r="D2605" s="15">
        <f>180-46.9</f>
        <v>133.1</v>
      </c>
    </row>
    <row r="2606" spans="1:4" x14ac:dyDescent="0.2">
      <c r="A2606" s="41">
        <v>1959</v>
      </c>
      <c r="B2606" s="42">
        <v>2</v>
      </c>
      <c r="C2606" s="43">
        <v>400</v>
      </c>
      <c r="D2606" s="15">
        <f>180-46.9</f>
        <v>133.1</v>
      </c>
    </row>
    <row r="2607" spans="1:4" x14ac:dyDescent="0.2">
      <c r="A2607" s="41">
        <v>1982</v>
      </c>
      <c r="B2607" s="42">
        <v>1</v>
      </c>
      <c r="C2607" s="43">
        <v>100</v>
      </c>
      <c r="D2607" s="15">
        <f>45-8.25-27.5</f>
        <v>9.25</v>
      </c>
    </row>
    <row r="2608" spans="1:4" x14ac:dyDescent="0.2">
      <c r="A2608" s="41">
        <v>1982</v>
      </c>
      <c r="B2608" s="42">
        <v>2</v>
      </c>
      <c r="C2608" s="43">
        <v>100</v>
      </c>
      <c r="D2608" s="15">
        <f>45-27.5</f>
        <v>17.5</v>
      </c>
    </row>
    <row r="2609" spans="1:4" x14ac:dyDescent="0.2">
      <c r="A2609" s="41">
        <v>1986</v>
      </c>
      <c r="B2609" s="42">
        <v>1</v>
      </c>
      <c r="C2609" s="43">
        <v>400</v>
      </c>
      <c r="D2609" s="15">
        <v>180</v>
      </c>
    </row>
    <row r="2610" spans="1:4" x14ac:dyDescent="0.2">
      <c r="A2610" s="41">
        <v>1986</v>
      </c>
      <c r="B2610" s="42">
        <v>2</v>
      </c>
      <c r="C2610" s="43">
        <v>400</v>
      </c>
      <c r="D2610" s="15">
        <v>180</v>
      </c>
    </row>
    <row r="2611" spans="1:4" x14ac:dyDescent="0.2">
      <c r="A2611" s="41">
        <v>1996</v>
      </c>
      <c r="B2611" s="13">
        <v>1</v>
      </c>
      <c r="C2611" s="14">
        <v>250</v>
      </c>
      <c r="D2611" s="15">
        <f>113-16.5</f>
        <v>96.5</v>
      </c>
    </row>
    <row r="2612" spans="1:4" x14ac:dyDescent="0.2">
      <c r="A2612" s="41">
        <v>1996</v>
      </c>
      <c r="B2612" s="13">
        <v>2</v>
      </c>
      <c r="C2612" s="14">
        <v>250</v>
      </c>
      <c r="D2612" s="15">
        <v>113</v>
      </c>
    </row>
    <row r="2613" spans="1:4" x14ac:dyDescent="0.2">
      <c r="A2613" s="41">
        <v>2301</v>
      </c>
      <c r="B2613" s="13">
        <v>1</v>
      </c>
      <c r="C2613" s="14">
        <v>250</v>
      </c>
      <c r="D2613" s="15">
        <v>150</v>
      </c>
    </row>
    <row r="2614" spans="1:4" x14ac:dyDescent="0.2">
      <c r="A2614" s="41">
        <v>2302</v>
      </c>
      <c r="B2614" s="13">
        <v>1</v>
      </c>
      <c r="C2614" s="14">
        <v>1000</v>
      </c>
      <c r="D2614" s="15">
        <v>450</v>
      </c>
    </row>
    <row r="2615" spans="1:4" x14ac:dyDescent="0.2">
      <c r="A2615" s="41">
        <v>2302</v>
      </c>
      <c r="B2615" s="13">
        <v>2</v>
      </c>
      <c r="C2615" s="14">
        <v>1000</v>
      </c>
      <c r="D2615" s="15">
        <v>450</v>
      </c>
    </row>
    <row r="2616" spans="1:4" x14ac:dyDescent="0.2">
      <c r="A2616" s="41">
        <v>2303</v>
      </c>
      <c r="B2616" s="13">
        <v>1</v>
      </c>
      <c r="C2616" s="14">
        <v>250</v>
      </c>
      <c r="D2616" s="15">
        <v>150</v>
      </c>
    </row>
    <row r="2617" spans="1:4" x14ac:dyDescent="0.2">
      <c r="A2617" s="41">
        <v>2304</v>
      </c>
      <c r="B2617" s="13">
        <v>1</v>
      </c>
      <c r="C2617" s="14">
        <v>250</v>
      </c>
      <c r="D2617" s="15">
        <v>150</v>
      </c>
    </row>
    <row r="2618" spans="1:4" x14ac:dyDescent="0.2">
      <c r="A2618" s="41">
        <v>2305</v>
      </c>
      <c r="B2618" s="13">
        <v>1</v>
      </c>
      <c r="C2618" s="14">
        <v>250</v>
      </c>
      <c r="D2618" s="15">
        <f>150-10.5-10.5-21-10.5-10.5-10.5</f>
        <v>76.5</v>
      </c>
    </row>
    <row r="2619" spans="1:4" x14ac:dyDescent="0.2">
      <c r="A2619" s="41">
        <v>2306</v>
      </c>
      <c r="B2619" s="13">
        <v>1</v>
      </c>
      <c r="C2619" s="14">
        <v>630</v>
      </c>
      <c r="D2619" s="15">
        <v>284</v>
      </c>
    </row>
    <row r="2620" spans="1:4" x14ac:dyDescent="0.2">
      <c r="A2620" s="41">
        <v>2306</v>
      </c>
      <c r="B2620" s="13">
        <v>2</v>
      </c>
      <c r="C2620" s="14">
        <v>630</v>
      </c>
      <c r="D2620" s="15">
        <v>28</v>
      </c>
    </row>
    <row r="2621" spans="1:4" x14ac:dyDescent="0.2">
      <c r="A2621" s="41">
        <v>2307</v>
      </c>
      <c r="B2621" s="13">
        <v>1</v>
      </c>
      <c r="C2621" s="14">
        <v>630</v>
      </c>
      <c r="D2621" s="15">
        <v>284</v>
      </c>
    </row>
    <row r="2622" spans="1:4" x14ac:dyDescent="0.2">
      <c r="A2622" s="41">
        <v>2307</v>
      </c>
      <c r="B2622" s="13">
        <v>2</v>
      </c>
      <c r="C2622" s="14">
        <v>630</v>
      </c>
      <c r="D2622" s="15">
        <v>284</v>
      </c>
    </row>
    <row r="2623" spans="1:4" x14ac:dyDescent="0.2">
      <c r="A2623" s="41">
        <v>2308</v>
      </c>
      <c r="B2623" s="13">
        <v>1</v>
      </c>
      <c r="C2623" s="14">
        <v>100</v>
      </c>
      <c r="D2623" s="15">
        <f>60-17.5</f>
        <v>42.5</v>
      </c>
    </row>
    <row r="2624" spans="1:4" x14ac:dyDescent="0.2">
      <c r="A2624" s="41">
        <v>2311</v>
      </c>
      <c r="B2624" s="13">
        <v>1</v>
      </c>
      <c r="C2624" s="14">
        <v>1250</v>
      </c>
      <c r="D2624" s="15">
        <f>563-28-24.5</f>
        <v>510.5</v>
      </c>
    </row>
    <row r="2625" spans="1:4" x14ac:dyDescent="0.2">
      <c r="A2625" s="41">
        <v>2311</v>
      </c>
      <c r="B2625" s="13">
        <v>2</v>
      </c>
      <c r="C2625" s="14">
        <v>1250</v>
      </c>
      <c r="D2625" s="15">
        <f>563-28</f>
        <v>535</v>
      </c>
    </row>
    <row r="2626" spans="1:4" x14ac:dyDescent="0.2">
      <c r="A2626" s="41">
        <v>2312</v>
      </c>
      <c r="B2626" s="13">
        <v>1</v>
      </c>
      <c r="C2626" s="14">
        <v>1250</v>
      </c>
      <c r="D2626" s="15">
        <v>563</v>
      </c>
    </row>
    <row r="2627" spans="1:4" x14ac:dyDescent="0.2">
      <c r="A2627" s="41">
        <v>2312</v>
      </c>
      <c r="B2627" s="13">
        <v>2</v>
      </c>
      <c r="C2627" s="14">
        <v>1250</v>
      </c>
      <c r="D2627" s="15">
        <v>563</v>
      </c>
    </row>
    <row r="2628" spans="1:4" x14ac:dyDescent="0.2">
      <c r="A2628" s="41">
        <v>2313</v>
      </c>
      <c r="B2628" s="13">
        <v>1</v>
      </c>
      <c r="C2628" s="14">
        <v>1000</v>
      </c>
      <c r="D2628" s="15">
        <v>450</v>
      </c>
    </row>
    <row r="2629" spans="1:4" x14ac:dyDescent="0.2">
      <c r="A2629" s="41">
        <v>2313</v>
      </c>
      <c r="B2629" s="13">
        <v>2</v>
      </c>
      <c r="C2629" s="14">
        <v>1000</v>
      </c>
      <c r="D2629" s="15">
        <v>450</v>
      </c>
    </row>
    <row r="2630" spans="1:4" x14ac:dyDescent="0.2">
      <c r="A2630" s="41">
        <v>2314</v>
      </c>
      <c r="B2630" s="13">
        <v>1</v>
      </c>
      <c r="C2630" s="14">
        <v>100</v>
      </c>
      <c r="D2630" s="15">
        <v>0</v>
      </c>
    </row>
    <row r="2631" spans="1:4" x14ac:dyDescent="0.2">
      <c r="A2631" s="41">
        <v>2315</v>
      </c>
      <c r="B2631" s="13">
        <v>1</v>
      </c>
      <c r="C2631" s="14">
        <v>400</v>
      </c>
      <c r="D2631" s="15">
        <v>240</v>
      </c>
    </row>
    <row r="2632" spans="1:4" x14ac:dyDescent="0.2">
      <c r="A2632" s="41">
        <v>2316</v>
      </c>
      <c r="B2632" s="13">
        <v>1</v>
      </c>
      <c r="C2632" s="14">
        <v>250</v>
      </c>
      <c r="D2632" s="15">
        <v>150</v>
      </c>
    </row>
    <row r="2633" spans="1:4" x14ac:dyDescent="0.2">
      <c r="A2633" s="41">
        <v>2317</v>
      </c>
      <c r="B2633" s="13">
        <v>1</v>
      </c>
      <c r="C2633" s="14">
        <v>250</v>
      </c>
      <c r="D2633" s="15">
        <v>150</v>
      </c>
    </row>
    <row r="2634" spans="1:4" x14ac:dyDescent="0.2">
      <c r="A2634" s="41">
        <v>2318</v>
      </c>
      <c r="B2634" s="13">
        <v>1</v>
      </c>
      <c r="C2634" s="14">
        <v>250</v>
      </c>
      <c r="D2634" s="15">
        <f>150-16.5-4.13-2.48</f>
        <v>126.89</v>
      </c>
    </row>
    <row r="2635" spans="1:4" x14ac:dyDescent="0.2">
      <c r="A2635" s="41">
        <v>2319</v>
      </c>
      <c r="B2635" s="13">
        <v>1</v>
      </c>
      <c r="C2635" s="14">
        <v>630</v>
      </c>
      <c r="D2635" s="15">
        <v>284</v>
      </c>
    </row>
    <row r="2636" spans="1:4" x14ac:dyDescent="0.2">
      <c r="A2636" s="41">
        <v>2319</v>
      </c>
      <c r="B2636" s="13">
        <v>2</v>
      </c>
      <c r="C2636" s="14">
        <v>630</v>
      </c>
      <c r="D2636" s="15">
        <v>284</v>
      </c>
    </row>
    <row r="2637" spans="1:4" x14ac:dyDescent="0.2">
      <c r="A2637" s="41">
        <v>2320</v>
      </c>
      <c r="B2637" s="13">
        <v>1</v>
      </c>
      <c r="C2637" s="14">
        <v>100</v>
      </c>
      <c r="D2637" s="15">
        <f>60-5.5-8.25-8.25-5.5-5.5-5.5-8.25</f>
        <v>13.25</v>
      </c>
    </row>
    <row r="2638" spans="1:4" x14ac:dyDescent="0.2">
      <c r="A2638" s="41">
        <v>2321</v>
      </c>
      <c r="B2638" s="13">
        <v>1</v>
      </c>
      <c r="C2638" s="14">
        <v>250</v>
      </c>
      <c r="D2638" s="15">
        <f>150-44</f>
        <v>106</v>
      </c>
    </row>
    <row r="2639" spans="1:4" x14ac:dyDescent="0.2">
      <c r="A2639" s="41">
        <v>2322</v>
      </c>
      <c r="B2639" s="13">
        <v>1</v>
      </c>
      <c r="C2639" s="14">
        <v>100</v>
      </c>
      <c r="D2639" s="15">
        <f>60-8.25</f>
        <v>51.75</v>
      </c>
    </row>
    <row r="2640" spans="1:4" x14ac:dyDescent="0.2">
      <c r="A2640" s="41">
        <v>2323</v>
      </c>
      <c r="B2640" s="13">
        <v>1</v>
      </c>
      <c r="C2640" s="14">
        <v>1000</v>
      </c>
      <c r="D2640" s="15">
        <f>450-8.25</f>
        <v>441.75</v>
      </c>
    </row>
    <row r="2641" spans="1:4" x14ac:dyDescent="0.2">
      <c r="A2641" s="44">
        <v>2323</v>
      </c>
      <c r="B2641" s="28">
        <v>2</v>
      </c>
      <c r="C2641" s="14">
        <v>1000</v>
      </c>
      <c r="D2641" s="15">
        <v>450</v>
      </c>
    </row>
    <row r="2642" spans="1:4" x14ac:dyDescent="0.2">
      <c r="A2642" s="43">
        <v>2324</v>
      </c>
      <c r="B2642" s="14">
        <v>1</v>
      </c>
      <c r="C2642" s="45">
        <v>400</v>
      </c>
      <c r="D2642" s="46">
        <f>240-70</f>
        <v>170</v>
      </c>
    </row>
    <row r="2643" spans="1:4" x14ac:dyDescent="0.2">
      <c r="A2643" s="43">
        <v>2325</v>
      </c>
      <c r="B2643" s="14">
        <v>1</v>
      </c>
      <c r="C2643" s="45">
        <v>250</v>
      </c>
      <c r="D2643" s="46">
        <v>150</v>
      </c>
    </row>
    <row r="2644" spans="1:4" x14ac:dyDescent="0.2">
      <c r="A2644" s="43">
        <v>2330</v>
      </c>
      <c r="B2644" s="14">
        <v>1</v>
      </c>
      <c r="C2644" s="14">
        <v>400</v>
      </c>
      <c r="D2644" s="15">
        <v>180</v>
      </c>
    </row>
    <row r="2645" spans="1:4" x14ac:dyDescent="0.2">
      <c r="A2645" s="43">
        <v>2330</v>
      </c>
      <c r="B2645" s="43">
        <v>2</v>
      </c>
      <c r="C2645" s="43">
        <v>400</v>
      </c>
      <c r="D2645" s="47">
        <v>180</v>
      </c>
    </row>
    <row r="2646" spans="1:4" x14ac:dyDescent="0.2">
      <c r="A2646" s="43">
        <v>2335</v>
      </c>
      <c r="B2646" s="43">
        <v>1</v>
      </c>
      <c r="C2646" s="43">
        <v>400</v>
      </c>
      <c r="D2646" s="47">
        <v>240</v>
      </c>
    </row>
    <row r="2647" spans="1:4" x14ac:dyDescent="0.2">
      <c r="A2647" s="43">
        <v>2350</v>
      </c>
      <c r="B2647" s="14">
        <v>1</v>
      </c>
      <c r="C2647" s="14">
        <v>1000</v>
      </c>
      <c r="D2647" s="15">
        <v>450</v>
      </c>
    </row>
    <row r="2648" spans="1:4" x14ac:dyDescent="0.2">
      <c r="A2648" s="43">
        <v>2350</v>
      </c>
      <c r="B2648" s="14">
        <v>2</v>
      </c>
      <c r="C2648" s="14">
        <v>1000</v>
      </c>
      <c r="D2648" s="15">
        <v>450</v>
      </c>
    </row>
    <row r="2649" spans="1:4" x14ac:dyDescent="0.2">
      <c r="A2649" s="43">
        <v>2351</v>
      </c>
      <c r="B2649" s="14">
        <v>1</v>
      </c>
      <c r="C2649" s="14">
        <v>630</v>
      </c>
      <c r="D2649" s="15">
        <v>284</v>
      </c>
    </row>
    <row r="2650" spans="1:4" x14ac:dyDescent="0.2">
      <c r="A2650" s="43">
        <v>2351</v>
      </c>
      <c r="B2650" s="14">
        <v>2</v>
      </c>
      <c r="C2650" s="14">
        <v>630</v>
      </c>
      <c r="D2650" s="15">
        <v>284</v>
      </c>
    </row>
    <row r="2651" spans="1:4" x14ac:dyDescent="0.2">
      <c r="A2651" s="43">
        <v>2352</v>
      </c>
      <c r="B2651" s="14">
        <v>1</v>
      </c>
      <c r="C2651" s="14">
        <v>630</v>
      </c>
      <c r="D2651" s="15">
        <v>284</v>
      </c>
    </row>
    <row r="2652" spans="1:4" x14ac:dyDescent="0.2">
      <c r="A2652" s="43">
        <v>2352</v>
      </c>
      <c r="B2652" s="43">
        <v>2</v>
      </c>
      <c r="C2652" s="43">
        <v>630</v>
      </c>
      <c r="D2652" s="47">
        <v>284</v>
      </c>
    </row>
    <row r="2653" spans="1:4" x14ac:dyDescent="0.2">
      <c r="A2653" s="14" t="s">
        <v>9</v>
      </c>
      <c r="B2653" s="14">
        <v>1</v>
      </c>
      <c r="C2653" s="14">
        <v>250</v>
      </c>
      <c r="D2653" s="15">
        <f>105-7</f>
        <v>98</v>
      </c>
    </row>
    <row r="2654" spans="1:4" x14ac:dyDescent="0.2">
      <c r="A2654" s="14" t="s">
        <v>9</v>
      </c>
      <c r="B2654" s="14">
        <v>2</v>
      </c>
      <c r="C2654" s="14">
        <v>250</v>
      </c>
      <c r="D2654" s="15">
        <v>66.646350000000012</v>
      </c>
    </row>
    <row r="2655" spans="1:4" x14ac:dyDescent="0.2">
      <c r="A2655" s="8" t="s">
        <v>10</v>
      </c>
      <c r="B2655" s="9">
        <v>1</v>
      </c>
      <c r="C2655" s="10">
        <v>100</v>
      </c>
      <c r="D2655" s="11">
        <v>45</v>
      </c>
    </row>
    <row r="2656" spans="1:4" x14ac:dyDescent="0.2">
      <c r="A2656" s="12" t="s">
        <v>10</v>
      </c>
      <c r="B2656" s="13">
        <v>2</v>
      </c>
      <c r="C2656" s="14">
        <v>100</v>
      </c>
      <c r="D2656" s="15">
        <v>43.915289999999999</v>
      </c>
    </row>
    <row r="2657" spans="1:4" x14ac:dyDescent="0.2">
      <c r="A2657" s="12" t="s">
        <v>11</v>
      </c>
      <c r="B2657" s="13">
        <v>1</v>
      </c>
      <c r="C2657" s="14">
        <v>630</v>
      </c>
      <c r="D2657" s="15">
        <v>0</v>
      </c>
    </row>
    <row r="2658" spans="1:4" x14ac:dyDescent="0.2">
      <c r="A2658" s="12" t="s">
        <v>11</v>
      </c>
      <c r="B2658" s="13">
        <v>2</v>
      </c>
      <c r="C2658" s="14">
        <v>630</v>
      </c>
      <c r="D2658" s="15">
        <v>0</v>
      </c>
    </row>
    <row r="2659" spans="1:4" x14ac:dyDescent="0.2">
      <c r="A2659" s="12" t="s">
        <v>12</v>
      </c>
      <c r="B2659" s="13">
        <v>1</v>
      </c>
      <c r="C2659" s="14">
        <v>400</v>
      </c>
      <c r="D2659" s="15">
        <f>170.53344-3-9-9-9</f>
        <v>140.53344000000001</v>
      </c>
    </row>
    <row r="2660" spans="1:4" x14ac:dyDescent="0.2">
      <c r="A2660" s="12" t="s">
        <v>12</v>
      </c>
      <c r="B2660" s="13">
        <v>2</v>
      </c>
      <c r="C2660" s="14">
        <v>400</v>
      </c>
      <c r="D2660" s="15">
        <f>166.3178625-24</f>
        <v>142.31786249999999</v>
      </c>
    </row>
    <row r="2661" spans="1:4" x14ac:dyDescent="0.2">
      <c r="A2661" s="12" t="s">
        <v>13</v>
      </c>
      <c r="B2661" s="13">
        <v>1</v>
      </c>
      <c r="C2661" s="14">
        <v>630</v>
      </c>
      <c r="D2661" s="15">
        <f>235.08249-42-4.9</f>
        <v>188.18249</v>
      </c>
    </row>
    <row r="2662" spans="1:4" x14ac:dyDescent="0.2">
      <c r="A2662" s="12" t="s">
        <v>13</v>
      </c>
      <c r="B2662" s="13">
        <v>2</v>
      </c>
      <c r="C2662" s="14">
        <v>630</v>
      </c>
      <c r="D2662" s="15">
        <f>264.6408375-10.5-7-42-5.78-21</f>
        <v>178.36083749999997</v>
      </c>
    </row>
    <row r="2663" spans="1:4" x14ac:dyDescent="0.2">
      <c r="A2663" s="48" t="s">
        <v>14</v>
      </c>
      <c r="B2663" s="49">
        <v>1</v>
      </c>
      <c r="C2663" s="17">
        <v>630</v>
      </c>
      <c r="D2663" s="15">
        <v>0</v>
      </c>
    </row>
    <row r="2664" spans="1:4" x14ac:dyDescent="0.2">
      <c r="A2664" s="48" t="s">
        <v>14</v>
      </c>
      <c r="B2664" s="49">
        <v>2</v>
      </c>
      <c r="C2664" s="17">
        <v>250</v>
      </c>
      <c r="D2664" s="15">
        <v>0</v>
      </c>
    </row>
    <row r="2665" spans="1:4" x14ac:dyDescent="0.2">
      <c r="A2665" s="12" t="s">
        <v>15</v>
      </c>
      <c r="B2665" s="13">
        <v>1</v>
      </c>
      <c r="C2665" s="14">
        <v>400</v>
      </c>
      <c r="D2665" s="15">
        <f>131.631795-17.5</f>
        <v>114.13179500000001</v>
      </c>
    </row>
    <row r="2666" spans="1:4" x14ac:dyDescent="0.2">
      <c r="A2666" s="12" t="s">
        <v>15</v>
      </c>
      <c r="B2666" s="13">
        <v>2</v>
      </c>
      <c r="C2666" s="14">
        <v>400</v>
      </c>
      <c r="D2666" s="15">
        <v>122.60898</v>
      </c>
    </row>
    <row r="2667" spans="1:4" x14ac:dyDescent="0.2">
      <c r="A2667" s="12" t="s">
        <v>16</v>
      </c>
      <c r="B2667" s="13">
        <v>1</v>
      </c>
      <c r="C2667" s="14">
        <v>400</v>
      </c>
      <c r="D2667" s="15">
        <v>119.502765</v>
      </c>
    </row>
    <row r="2668" spans="1:4" x14ac:dyDescent="0.2">
      <c r="A2668" s="12" t="s">
        <v>16</v>
      </c>
      <c r="B2668" s="13">
        <v>2</v>
      </c>
      <c r="C2668" s="14">
        <v>400</v>
      </c>
      <c r="D2668" s="15">
        <f>153.07947-9-7.2</f>
        <v>136.87947</v>
      </c>
    </row>
    <row r="2669" spans="1:4" x14ac:dyDescent="0.2">
      <c r="A2669" s="12" t="s">
        <v>17</v>
      </c>
      <c r="B2669" s="13">
        <v>1</v>
      </c>
      <c r="C2669" s="14">
        <v>630</v>
      </c>
      <c r="D2669" s="15">
        <v>267.7470525</v>
      </c>
    </row>
    <row r="2670" spans="1:4" x14ac:dyDescent="0.2">
      <c r="A2670" s="12" t="s">
        <v>17</v>
      </c>
      <c r="B2670" s="13">
        <v>2</v>
      </c>
      <c r="C2670" s="14">
        <v>630</v>
      </c>
      <c r="D2670" s="15">
        <f>267.4512225-6-8.9-1.8-15-5.4</f>
        <v>230.35122249999995</v>
      </c>
    </row>
    <row r="2671" spans="1:4" x14ac:dyDescent="0.2">
      <c r="A2671" s="12" t="s">
        <v>18</v>
      </c>
      <c r="B2671" s="13">
        <v>1</v>
      </c>
      <c r="C2671" s="14">
        <v>630</v>
      </c>
      <c r="D2671" s="15">
        <v>0</v>
      </c>
    </row>
    <row r="2672" spans="1:4" x14ac:dyDescent="0.2">
      <c r="A2672" s="12" t="s">
        <v>18</v>
      </c>
      <c r="B2672" s="13">
        <v>2</v>
      </c>
      <c r="C2672" s="14">
        <v>630</v>
      </c>
      <c r="D2672" s="15">
        <f>219.89655-22-71.5-55-2.75-41.25-8.25-13.75</f>
        <v>5.3965499999999906</v>
      </c>
    </row>
    <row r="2673" spans="1:4" x14ac:dyDescent="0.2">
      <c r="A2673" s="12" t="s">
        <v>19</v>
      </c>
      <c r="B2673" s="13">
        <v>1</v>
      </c>
      <c r="C2673" s="14">
        <v>630</v>
      </c>
      <c r="D2673" s="15">
        <f>284-234.36-10.5-10.5-10.5-5.6</f>
        <v>12.539999999999987</v>
      </c>
    </row>
    <row r="2674" spans="1:4" x14ac:dyDescent="0.2">
      <c r="A2674" s="12" t="s">
        <v>19</v>
      </c>
      <c r="B2674" s="13">
        <v>2</v>
      </c>
      <c r="C2674" s="14">
        <v>630</v>
      </c>
      <c r="D2674" s="15">
        <f>284-234.36-3.5-10.5</f>
        <v>35.639999999999986</v>
      </c>
    </row>
    <row r="2675" spans="1:4" x14ac:dyDescent="0.2">
      <c r="A2675" s="12" t="s">
        <v>20</v>
      </c>
      <c r="B2675" s="13">
        <v>1</v>
      </c>
      <c r="C2675" s="14">
        <v>630</v>
      </c>
      <c r="D2675" s="15">
        <v>0</v>
      </c>
    </row>
    <row r="2676" spans="1:4" x14ac:dyDescent="0.2">
      <c r="A2676" s="12" t="s">
        <v>20</v>
      </c>
      <c r="B2676" s="13">
        <v>2</v>
      </c>
      <c r="C2676" s="14">
        <v>630</v>
      </c>
      <c r="D2676" s="15">
        <v>0</v>
      </c>
    </row>
    <row r="2677" spans="1:4" x14ac:dyDescent="0.2">
      <c r="A2677" s="12" t="s">
        <v>21</v>
      </c>
      <c r="B2677" s="13">
        <v>1</v>
      </c>
      <c r="C2677" s="14">
        <v>630</v>
      </c>
      <c r="D2677" s="15">
        <v>257.07252</v>
      </c>
    </row>
    <row r="2678" spans="1:4" x14ac:dyDescent="0.2">
      <c r="A2678" s="12" t="s">
        <v>21</v>
      </c>
      <c r="B2678" s="13">
        <v>2</v>
      </c>
      <c r="C2678" s="14">
        <v>630</v>
      </c>
      <c r="D2678" s="15">
        <v>229.36311000000001</v>
      </c>
    </row>
    <row r="2679" spans="1:4" x14ac:dyDescent="0.2">
      <c r="A2679" s="12" t="s">
        <v>22</v>
      </c>
      <c r="B2679" s="13">
        <v>1</v>
      </c>
      <c r="C2679" s="14">
        <v>25</v>
      </c>
      <c r="D2679" s="15">
        <v>0</v>
      </c>
    </row>
    <row r="2680" spans="1:4" x14ac:dyDescent="0.2">
      <c r="A2680" s="12" t="s">
        <v>23</v>
      </c>
      <c r="B2680" s="13">
        <v>1</v>
      </c>
      <c r="C2680" s="14">
        <v>400</v>
      </c>
      <c r="D2680" s="15">
        <f>129.0432825-3.85-8.25-1.38-13.75</f>
        <v>101.81328250000001</v>
      </c>
    </row>
    <row r="2681" spans="1:4" x14ac:dyDescent="0.2">
      <c r="A2681" s="12" t="s">
        <v>23</v>
      </c>
      <c r="B2681" s="13">
        <v>2</v>
      </c>
      <c r="C2681" s="14">
        <v>400</v>
      </c>
      <c r="D2681" s="15">
        <f>152.635725-2.5-5.23-16.5</f>
        <v>128.40572500000002</v>
      </c>
    </row>
    <row r="2682" spans="1:4" x14ac:dyDescent="0.2">
      <c r="A2682" s="12" t="s">
        <v>24</v>
      </c>
      <c r="B2682" s="13">
        <v>1</v>
      </c>
      <c r="C2682" s="14">
        <v>400</v>
      </c>
      <c r="D2682" s="15">
        <f>158.6262825-0.06</f>
        <v>158.5662825</v>
      </c>
    </row>
    <row r="2683" spans="1:4" x14ac:dyDescent="0.2">
      <c r="A2683" s="12" t="s">
        <v>24</v>
      </c>
      <c r="B2683" s="13">
        <v>2</v>
      </c>
      <c r="C2683" s="14">
        <v>400</v>
      </c>
      <c r="D2683" s="15">
        <f>135.6994575-8.25-8.25</f>
        <v>119.19945749999999</v>
      </c>
    </row>
    <row r="2684" spans="1:4" x14ac:dyDescent="0.2">
      <c r="A2684" s="12" t="s">
        <v>25</v>
      </c>
      <c r="B2684" s="13">
        <v>1</v>
      </c>
      <c r="C2684" s="14">
        <v>160</v>
      </c>
      <c r="D2684" s="15">
        <f>69.92919-49</f>
        <v>20.929190000000006</v>
      </c>
    </row>
    <row r="2685" spans="1:4" x14ac:dyDescent="0.2">
      <c r="A2685" s="12" t="s">
        <v>25</v>
      </c>
      <c r="B2685" s="13">
        <v>2</v>
      </c>
      <c r="C2685" s="14">
        <v>160</v>
      </c>
      <c r="D2685" s="15">
        <v>0</v>
      </c>
    </row>
    <row r="2686" spans="1:4" x14ac:dyDescent="0.2">
      <c r="A2686" s="12" t="s">
        <v>26</v>
      </c>
      <c r="B2686" s="13">
        <v>1</v>
      </c>
      <c r="C2686" s="14">
        <v>400</v>
      </c>
      <c r="D2686" s="15">
        <f>141.394185-8.25-10.5-21</f>
        <v>101.64418499999999</v>
      </c>
    </row>
    <row r="2687" spans="1:4" x14ac:dyDescent="0.2">
      <c r="A2687" s="12" t="s">
        <v>26</v>
      </c>
      <c r="B2687" s="13">
        <v>2</v>
      </c>
      <c r="C2687" s="14">
        <v>400</v>
      </c>
      <c r="D2687" s="15">
        <f>160.17939-52.5</f>
        <v>107.67939000000001</v>
      </c>
    </row>
    <row r="2688" spans="1:4" x14ac:dyDescent="0.2">
      <c r="A2688" s="12" t="s">
        <v>27</v>
      </c>
      <c r="B2688" s="13">
        <v>1</v>
      </c>
      <c r="C2688" s="14">
        <v>400</v>
      </c>
      <c r="D2688" s="15">
        <v>178.42224000000002</v>
      </c>
    </row>
    <row r="2689" spans="1:4" x14ac:dyDescent="0.2">
      <c r="A2689" s="12" t="s">
        <v>27</v>
      </c>
      <c r="B2689" s="13">
        <v>2</v>
      </c>
      <c r="C2689" s="14">
        <v>400</v>
      </c>
      <c r="D2689" s="15">
        <v>162.54603</v>
      </c>
    </row>
    <row r="2690" spans="1:4" x14ac:dyDescent="0.2">
      <c r="A2690" s="12" t="s">
        <v>28</v>
      </c>
      <c r="B2690" s="13">
        <v>1</v>
      </c>
      <c r="C2690" s="14">
        <v>180</v>
      </c>
      <c r="D2690" s="15">
        <v>76.192762500000001</v>
      </c>
    </row>
    <row r="2691" spans="1:4" x14ac:dyDescent="0.2">
      <c r="A2691" s="12" t="s">
        <v>28</v>
      </c>
      <c r="B2691" s="13">
        <v>2</v>
      </c>
      <c r="C2691" s="14">
        <v>250</v>
      </c>
      <c r="D2691" s="15">
        <f>109.0239975-10.5-0.07-0.35</f>
        <v>98.103997500000006</v>
      </c>
    </row>
    <row r="2692" spans="1:4" x14ac:dyDescent="0.2">
      <c r="A2692" s="12" t="s">
        <v>29</v>
      </c>
      <c r="B2692" s="13">
        <v>1</v>
      </c>
      <c r="C2692" s="14">
        <v>400</v>
      </c>
      <c r="D2692" s="15">
        <v>178.00314750000001</v>
      </c>
    </row>
    <row r="2693" spans="1:4" x14ac:dyDescent="0.2">
      <c r="A2693" s="12" t="s">
        <v>29</v>
      </c>
      <c r="B2693" s="13">
        <v>2</v>
      </c>
      <c r="C2693" s="14">
        <v>400</v>
      </c>
      <c r="D2693" s="15">
        <v>151.60031999999998</v>
      </c>
    </row>
    <row r="2694" spans="1:4" x14ac:dyDescent="0.2">
      <c r="A2694" s="12" t="s">
        <v>30</v>
      </c>
      <c r="B2694" s="13">
        <v>1</v>
      </c>
      <c r="C2694" s="14">
        <v>630</v>
      </c>
      <c r="D2694" s="15">
        <f>211.90914-5.1-24</f>
        <v>182.80914000000001</v>
      </c>
    </row>
    <row r="2695" spans="1:4" x14ac:dyDescent="0.2">
      <c r="A2695" s="48" t="s">
        <v>30</v>
      </c>
      <c r="B2695" s="13">
        <v>2</v>
      </c>
      <c r="C2695" s="17">
        <v>630</v>
      </c>
      <c r="D2695" s="15">
        <f>220.1184225-24</f>
        <v>196.11842250000001</v>
      </c>
    </row>
    <row r="2696" spans="1:4" x14ac:dyDescent="0.2">
      <c r="A2696" s="48" t="s">
        <v>31</v>
      </c>
      <c r="B2696" s="13">
        <v>1</v>
      </c>
      <c r="C2696" s="17">
        <v>400</v>
      </c>
      <c r="D2696" s="15">
        <f>130.6703475-21-7</f>
        <v>102.67034749999999</v>
      </c>
    </row>
    <row r="2697" spans="1:4" x14ac:dyDescent="0.2">
      <c r="A2697" s="12" t="s">
        <v>31</v>
      </c>
      <c r="B2697" s="13">
        <v>2</v>
      </c>
      <c r="C2697" s="14">
        <v>400</v>
      </c>
      <c r="D2697" s="15">
        <f>132.37137-7-2-38.5-10.5</f>
        <v>74.371370000000013</v>
      </c>
    </row>
    <row r="2698" spans="1:4" x14ac:dyDescent="0.2">
      <c r="A2698" s="12" t="s">
        <v>32</v>
      </c>
      <c r="B2698" s="13">
        <v>1</v>
      </c>
      <c r="C2698" s="14">
        <v>400</v>
      </c>
      <c r="D2698" s="15">
        <f>182.60898-16.5-8.25-8.25</f>
        <v>149.60898</v>
      </c>
    </row>
    <row r="2699" spans="1:4" x14ac:dyDescent="0.2">
      <c r="A2699" s="12" t="s">
        <v>33</v>
      </c>
      <c r="B2699" s="13">
        <v>1</v>
      </c>
      <c r="C2699" s="14">
        <v>1000</v>
      </c>
      <c r="D2699" s="15">
        <v>0</v>
      </c>
    </row>
    <row r="2700" spans="1:4" x14ac:dyDescent="0.2">
      <c r="A2700" s="12" t="s">
        <v>33</v>
      </c>
      <c r="B2700" s="13">
        <v>2</v>
      </c>
      <c r="C2700" s="14">
        <v>1000</v>
      </c>
      <c r="D2700" s="15">
        <v>0</v>
      </c>
    </row>
    <row r="2701" spans="1:4" x14ac:dyDescent="0.2">
      <c r="A2701" s="48" t="s">
        <v>34</v>
      </c>
      <c r="B2701" s="13">
        <v>1</v>
      </c>
      <c r="C2701" s="17">
        <v>400</v>
      </c>
      <c r="D2701" s="15">
        <v>180</v>
      </c>
    </row>
    <row r="2702" spans="1:4" x14ac:dyDescent="0.2">
      <c r="A2702" s="48" t="s">
        <v>34</v>
      </c>
      <c r="B2702" s="13">
        <v>2</v>
      </c>
      <c r="C2702" s="17">
        <v>400</v>
      </c>
      <c r="D2702" s="15">
        <v>161.06688</v>
      </c>
    </row>
    <row r="2703" spans="1:4" x14ac:dyDescent="0.2">
      <c r="A2703" s="48" t="s">
        <v>35</v>
      </c>
      <c r="B2703" s="13">
        <v>1</v>
      </c>
      <c r="C2703" s="17">
        <v>25</v>
      </c>
      <c r="D2703" s="15">
        <f>15-1.5</f>
        <v>13.5</v>
      </c>
    </row>
    <row r="2704" spans="1:4" x14ac:dyDescent="0.2">
      <c r="A2704" s="12" t="s">
        <v>36</v>
      </c>
      <c r="B2704" s="13">
        <v>1</v>
      </c>
      <c r="C2704" s="14">
        <v>100</v>
      </c>
      <c r="D2704" s="15">
        <v>47.114960000000004</v>
      </c>
    </row>
    <row r="2705" spans="1:4" x14ac:dyDescent="0.2">
      <c r="A2705" s="12" t="s">
        <v>37</v>
      </c>
      <c r="B2705" s="13">
        <v>1</v>
      </c>
      <c r="C2705" s="14">
        <v>400</v>
      </c>
      <c r="D2705" s="15">
        <f>176-88-10.5-10.5-10.5</f>
        <v>56.5</v>
      </c>
    </row>
    <row r="2706" spans="1:4" x14ac:dyDescent="0.2">
      <c r="A2706" s="12" t="s">
        <v>37</v>
      </c>
      <c r="B2706" s="13">
        <v>2</v>
      </c>
      <c r="C2706" s="14">
        <v>400</v>
      </c>
      <c r="D2706" s="15">
        <f>180-10.5-4.9-10.5-88</f>
        <v>66.099999999999994</v>
      </c>
    </row>
    <row r="2707" spans="1:4" x14ac:dyDescent="0.2">
      <c r="A2707" s="12" t="s">
        <v>38</v>
      </c>
      <c r="B2707" s="13">
        <v>1</v>
      </c>
      <c r="C2707" s="14">
        <v>30</v>
      </c>
      <c r="D2707" s="15">
        <v>13.5</v>
      </c>
    </row>
    <row r="2708" spans="1:4" x14ac:dyDescent="0.2">
      <c r="A2708" s="12" t="s">
        <v>38</v>
      </c>
      <c r="B2708" s="13">
        <v>2</v>
      </c>
      <c r="C2708" s="14">
        <v>25</v>
      </c>
      <c r="D2708" s="15">
        <f>11.25-1.5</f>
        <v>9.75</v>
      </c>
    </row>
    <row r="2709" spans="1:4" x14ac:dyDescent="0.2">
      <c r="A2709" s="12" t="s">
        <v>39</v>
      </c>
      <c r="B2709" s="13">
        <v>1</v>
      </c>
      <c r="C2709" s="14">
        <v>630</v>
      </c>
      <c r="D2709" s="15">
        <f>261.5346225-2.25-22.5-30.75-56.25-11.25-3.75-7.88</f>
        <v>126.90462250000002</v>
      </c>
    </row>
    <row r="2710" spans="1:4" x14ac:dyDescent="0.2">
      <c r="A2710" s="12" t="s">
        <v>39</v>
      </c>
      <c r="B2710" s="13">
        <v>2</v>
      </c>
      <c r="C2710" s="14">
        <v>400</v>
      </c>
      <c r="D2710" s="15">
        <v>166.53973500000001</v>
      </c>
    </row>
    <row r="2711" spans="1:4" x14ac:dyDescent="0.2">
      <c r="A2711" s="12" t="s">
        <v>40</v>
      </c>
      <c r="B2711" s="13">
        <v>1</v>
      </c>
      <c r="C2711" s="14">
        <v>630</v>
      </c>
      <c r="D2711" s="15">
        <f>277.2136125-21.6-10.8</f>
        <v>244.8136125</v>
      </c>
    </row>
    <row r="2712" spans="1:4" x14ac:dyDescent="0.2">
      <c r="A2712" s="12" t="s">
        <v>40</v>
      </c>
      <c r="B2712" s="13">
        <v>2</v>
      </c>
      <c r="C2712" s="14">
        <v>630</v>
      </c>
      <c r="D2712" s="15">
        <f>257.9846625-6.5-12</f>
        <v>239.48466250000001</v>
      </c>
    </row>
    <row r="2713" spans="1:4" x14ac:dyDescent="0.2">
      <c r="A2713" s="12" t="s">
        <v>41</v>
      </c>
      <c r="B2713" s="13">
        <v>1</v>
      </c>
      <c r="C2713" s="14">
        <v>180</v>
      </c>
      <c r="D2713" s="15">
        <f>71.31708-9</f>
        <v>62.317080000000004</v>
      </c>
    </row>
    <row r="2714" spans="1:4" x14ac:dyDescent="0.2">
      <c r="A2714" s="12" t="s">
        <v>42</v>
      </c>
      <c r="B2714" s="13">
        <v>1</v>
      </c>
      <c r="C2714" s="14">
        <v>250</v>
      </c>
      <c r="D2714" s="15">
        <v>113</v>
      </c>
    </row>
    <row r="2715" spans="1:4" x14ac:dyDescent="0.2">
      <c r="A2715" s="12" t="s">
        <v>42</v>
      </c>
      <c r="B2715" s="13">
        <v>2</v>
      </c>
      <c r="C2715" s="14">
        <v>250</v>
      </c>
      <c r="D2715" s="15">
        <f>113-105</f>
        <v>8</v>
      </c>
    </row>
    <row r="2716" spans="1:4" x14ac:dyDescent="0.2">
      <c r="A2716" s="12" t="s">
        <v>43</v>
      </c>
      <c r="B2716" s="13">
        <v>1</v>
      </c>
      <c r="C2716" s="14">
        <v>400</v>
      </c>
      <c r="D2716" s="15">
        <f>142.03515-95.4-9</f>
        <v>37.635149999999982</v>
      </c>
    </row>
    <row r="2717" spans="1:4" x14ac:dyDescent="0.2">
      <c r="A2717" s="12" t="s">
        <v>43</v>
      </c>
      <c r="B2717" s="13">
        <v>2</v>
      </c>
      <c r="C2717" s="14">
        <v>400</v>
      </c>
      <c r="D2717" s="15">
        <f>144.89484-95.4</f>
        <v>49.494839999999982</v>
      </c>
    </row>
    <row r="2718" spans="1:4" x14ac:dyDescent="0.2">
      <c r="A2718" s="12" t="s">
        <v>44</v>
      </c>
      <c r="B2718" s="13">
        <v>1</v>
      </c>
      <c r="C2718" s="14">
        <v>400</v>
      </c>
      <c r="D2718" s="15">
        <v>0</v>
      </c>
    </row>
    <row r="2719" spans="1:4" x14ac:dyDescent="0.2">
      <c r="A2719" s="12" t="s">
        <v>44</v>
      </c>
      <c r="B2719" s="13">
        <v>2</v>
      </c>
      <c r="C2719" s="14">
        <v>400</v>
      </c>
      <c r="D2719" s="15">
        <v>0</v>
      </c>
    </row>
    <row r="2720" spans="1:4" x14ac:dyDescent="0.2">
      <c r="A2720" s="12" t="s">
        <v>44</v>
      </c>
      <c r="B2720" s="13">
        <v>3</v>
      </c>
      <c r="C2720" s="14">
        <v>400</v>
      </c>
      <c r="D2720" s="15">
        <f>163-21</f>
        <v>142</v>
      </c>
    </row>
    <row r="2721" spans="1:4" x14ac:dyDescent="0.2">
      <c r="A2721" s="12" t="s">
        <v>45</v>
      </c>
      <c r="B2721" s="13">
        <v>1</v>
      </c>
      <c r="C2721" s="14">
        <v>400</v>
      </c>
      <c r="D2721" s="15">
        <f>172.20981-10.5-10.5-0.91-0.7-10.5-10.5-10.5-10.5-21-10.5-10.5</f>
        <v>65.599810000000019</v>
      </c>
    </row>
    <row r="2722" spans="1:4" x14ac:dyDescent="0.2">
      <c r="A2722" s="50" t="s">
        <v>45</v>
      </c>
      <c r="B2722" s="42">
        <v>2</v>
      </c>
      <c r="C2722" s="43">
        <v>400</v>
      </c>
      <c r="D2722" s="15">
        <f>142.23237-9-10.5-10.5-10.5-10.5-10.5</f>
        <v>80.732370000000003</v>
      </c>
    </row>
    <row r="2723" spans="1:4" x14ac:dyDescent="0.2">
      <c r="A2723" s="50" t="s">
        <v>46</v>
      </c>
      <c r="B2723" s="42">
        <v>1</v>
      </c>
      <c r="C2723" s="43">
        <v>630</v>
      </c>
      <c r="D2723" s="15">
        <v>283.5</v>
      </c>
    </row>
    <row r="2724" spans="1:4" x14ac:dyDescent="0.2">
      <c r="A2724" s="12" t="s">
        <v>46</v>
      </c>
      <c r="B2724" s="13">
        <v>2</v>
      </c>
      <c r="C2724" s="14">
        <v>630</v>
      </c>
      <c r="D2724" s="15">
        <v>283.5</v>
      </c>
    </row>
    <row r="2725" spans="1:4" x14ac:dyDescent="0.2">
      <c r="A2725" s="12" t="s">
        <v>47</v>
      </c>
      <c r="B2725" s="13">
        <v>1</v>
      </c>
      <c r="C2725" s="14">
        <v>250</v>
      </c>
      <c r="D2725" s="15">
        <f>76.76564-36.6-0.6-6-9-9-9</f>
        <v>6.5656400000000019</v>
      </c>
    </row>
    <row r="2726" spans="1:4" x14ac:dyDescent="0.2">
      <c r="A2726" s="12" t="s">
        <v>48</v>
      </c>
      <c r="B2726" s="19">
        <v>2</v>
      </c>
      <c r="C2726" s="20">
        <v>100</v>
      </c>
      <c r="D2726" s="15">
        <v>45</v>
      </c>
    </row>
    <row r="2727" spans="1:4" x14ac:dyDescent="0.2">
      <c r="A2727" s="12" t="s">
        <v>49</v>
      </c>
      <c r="B2727" s="19">
        <v>1</v>
      </c>
      <c r="C2727" s="20">
        <v>400</v>
      </c>
      <c r="D2727" s="15">
        <f>128.3037075-55-1.65-8.25</f>
        <v>63.403707499999996</v>
      </c>
    </row>
    <row r="2728" spans="1:4" x14ac:dyDescent="0.2">
      <c r="A2728" s="12" t="s">
        <v>49</v>
      </c>
      <c r="B2728" s="19">
        <v>2</v>
      </c>
      <c r="C2728" s="20">
        <v>400</v>
      </c>
      <c r="D2728" s="15">
        <v>143.39103750000001</v>
      </c>
    </row>
    <row r="2729" spans="1:4" x14ac:dyDescent="0.2">
      <c r="A2729" s="12" t="s">
        <v>50</v>
      </c>
      <c r="B2729" s="13">
        <v>1</v>
      </c>
      <c r="C2729" s="14">
        <v>250</v>
      </c>
      <c r="D2729" s="15">
        <f>133.92657-4.9-10.5-10.5-4.91</f>
        <v>103.11657</v>
      </c>
    </row>
    <row r="2730" spans="1:4" x14ac:dyDescent="0.2">
      <c r="A2730" s="12" t="s">
        <v>51</v>
      </c>
      <c r="B2730" s="13">
        <v>1</v>
      </c>
      <c r="C2730" s="14">
        <v>250</v>
      </c>
      <c r="D2730" s="15">
        <f>104.90703-52.15</f>
        <v>52.757030000000007</v>
      </c>
    </row>
    <row r="2731" spans="1:4" x14ac:dyDescent="0.2">
      <c r="A2731" s="48" t="s">
        <v>51</v>
      </c>
      <c r="B2731" s="13">
        <v>2</v>
      </c>
      <c r="C2731" s="17">
        <v>250</v>
      </c>
      <c r="D2731" s="15">
        <f>106.09035-52.15</f>
        <v>53.940350000000002</v>
      </c>
    </row>
    <row r="2732" spans="1:4" x14ac:dyDescent="0.2">
      <c r="A2732" s="48" t="s">
        <v>52</v>
      </c>
      <c r="B2732" s="13">
        <v>2</v>
      </c>
      <c r="C2732" s="17">
        <v>250</v>
      </c>
      <c r="D2732" s="15">
        <f>101.7761625-9</f>
        <v>92.776162499999998</v>
      </c>
    </row>
    <row r="2733" spans="1:4" x14ac:dyDescent="0.2">
      <c r="A2733" s="12" t="s">
        <v>53</v>
      </c>
      <c r="B2733" s="13">
        <v>1</v>
      </c>
      <c r="C2733" s="14">
        <v>100</v>
      </c>
      <c r="D2733" s="15">
        <f>40.46394-10.5</f>
        <v>29.963940000000001</v>
      </c>
    </row>
    <row r="2734" spans="1:4" x14ac:dyDescent="0.2">
      <c r="A2734" s="12" t="s">
        <v>53</v>
      </c>
      <c r="B2734" s="13">
        <v>2</v>
      </c>
      <c r="C2734" s="14">
        <v>100</v>
      </c>
      <c r="D2734" s="15">
        <v>40.784422499999998</v>
      </c>
    </row>
    <row r="2735" spans="1:4" x14ac:dyDescent="0.2">
      <c r="A2735" s="12" t="s">
        <v>54</v>
      </c>
      <c r="B2735" s="19">
        <v>1</v>
      </c>
      <c r="C2735" s="20">
        <v>630</v>
      </c>
      <c r="D2735" s="15">
        <f>269.9657775-2.1-35</f>
        <v>232.86577749999998</v>
      </c>
    </row>
    <row r="2736" spans="1:4" x14ac:dyDescent="0.2">
      <c r="A2736" s="12" t="s">
        <v>54</v>
      </c>
      <c r="B2736" s="19">
        <v>2</v>
      </c>
      <c r="C2736" s="20">
        <v>630</v>
      </c>
      <c r="D2736" s="15">
        <f>237.94218-35</f>
        <v>202.94218000000001</v>
      </c>
    </row>
    <row r="2737" spans="1:4" x14ac:dyDescent="0.2">
      <c r="A2737" s="12" t="s">
        <v>54</v>
      </c>
      <c r="B2737" s="13">
        <v>3</v>
      </c>
      <c r="C2737" s="14">
        <v>630</v>
      </c>
      <c r="D2737" s="15">
        <v>256.06176750000003</v>
      </c>
    </row>
    <row r="2738" spans="1:4" x14ac:dyDescent="0.2">
      <c r="A2738" s="12" t="s">
        <v>55</v>
      </c>
      <c r="B2738" s="13">
        <v>1</v>
      </c>
      <c r="C2738" s="14">
        <v>250</v>
      </c>
      <c r="D2738" s="15">
        <v>0</v>
      </c>
    </row>
    <row r="2739" spans="1:4" x14ac:dyDescent="0.2">
      <c r="A2739" s="12" t="s">
        <v>55</v>
      </c>
      <c r="B2739" s="13">
        <v>2</v>
      </c>
      <c r="C2739" s="14">
        <v>250</v>
      </c>
      <c r="D2739" s="15">
        <v>0</v>
      </c>
    </row>
    <row r="2740" spans="1:4" x14ac:dyDescent="0.2">
      <c r="A2740" s="12" t="s">
        <v>56</v>
      </c>
      <c r="B2740" s="13">
        <v>1</v>
      </c>
      <c r="C2740" s="14">
        <v>400</v>
      </c>
      <c r="D2740" s="15">
        <f>118.319445-9-10.2</f>
        <v>99.119444999999999</v>
      </c>
    </row>
    <row r="2741" spans="1:4" x14ac:dyDescent="0.2">
      <c r="A2741" s="12" t="s">
        <v>56</v>
      </c>
      <c r="B2741" s="13">
        <v>2</v>
      </c>
      <c r="C2741" s="14">
        <v>400</v>
      </c>
      <c r="D2741" s="15">
        <v>141.1723125</v>
      </c>
    </row>
    <row r="2742" spans="1:4" x14ac:dyDescent="0.2">
      <c r="A2742" s="12" t="s">
        <v>57</v>
      </c>
      <c r="B2742" s="13">
        <v>1</v>
      </c>
      <c r="C2742" s="14">
        <v>630</v>
      </c>
      <c r="D2742" s="15">
        <v>0</v>
      </c>
    </row>
    <row r="2743" spans="1:4" x14ac:dyDescent="0.2">
      <c r="A2743" s="12" t="s">
        <v>57</v>
      </c>
      <c r="B2743" s="13">
        <v>2</v>
      </c>
      <c r="C2743" s="14">
        <v>630</v>
      </c>
      <c r="D2743" s="15">
        <v>0</v>
      </c>
    </row>
    <row r="2744" spans="1:4" x14ac:dyDescent="0.2">
      <c r="A2744" s="12" t="s">
        <v>58</v>
      </c>
      <c r="B2744" s="13">
        <v>1</v>
      </c>
      <c r="C2744" s="14">
        <v>400</v>
      </c>
      <c r="D2744" s="15">
        <f>148.789935-10.23-38.01</f>
        <v>100.54993500000003</v>
      </c>
    </row>
    <row r="2745" spans="1:4" x14ac:dyDescent="0.2">
      <c r="A2745" s="21" t="s">
        <v>58</v>
      </c>
      <c r="B2745" s="22">
        <v>2</v>
      </c>
      <c r="C2745" s="23">
        <v>400</v>
      </c>
      <c r="D2745" s="15">
        <f>134.2203075-38.01</f>
        <v>96.210307499999999</v>
      </c>
    </row>
    <row r="2746" spans="1:4" x14ac:dyDescent="0.2">
      <c r="A2746" s="21" t="s">
        <v>59</v>
      </c>
      <c r="B2746" s="22">
        <v>1</v>
      </c>
      <c r="C2746" s="23">
        <v>100</v>
      </c>
      <c r="D2746" s="15">
        <v>0</v>
      </c>
    </row>
    <row r="2747" spans="1:4" x14ac:dyDescent="0.2">
      <c r="A2747" s="12" t="s">
        <v>60</v>
      </c>
      <c r="B2747" s="13">
        <v>1</v>
      </c>
      <c r="C2747" s="14">
        <v>630</v>
      </c>
      <c r="D2747" s="15">
        <f>218.4174-8.25-3.5-3.58-5.5-8.25-8.25</f>
        <v>181.08739999999997</v>
      </c>
    </row>
    <row r="2748" spans="1:4" x14ac:dyDescent="0.2">
      <c r="A2748" s="12" t="s">
        <v>60</v>
      </c>
      <c r="B2748" s="13">
        <v>2</v>
      </c>
      <c r="C2748" s="14">
        <v>630</v>
      </c>
      <c r="D2748" s="15">
        <f>226.1829375-4.4-5.5-8.25</f>
        <v>208.0329375</v>
      </c>
    </row>
    <row r="2749" spans="1:4" x14ac:dyDescent="0.2">
      <c r="A2749" s="12" t="s">
        <v>61</v>
      </c>
      <c r="B2749" s="13">
        <v>1</v>
      </c>
      <c r="C2749" s="14">
        <v>400</v>
      </c>
      <c r="D2749" s="15">
        <f>155.002365-11.25</f>
        <v>143.752365</v>
      </c>
    </row>
    <row r="2750" spans="1:4" x14ac:dyDescent="0.2">
      <c r="A2750" s="12" t="s">
        <v>61</v>
      </c>
      <c r="B2750" s="13">
        <v>2</v>
      </c>
      <c r="C2750" s="14">
        <v>400</v>
      </c>
      <c r="D2750" s="15">
        <f>135.1077975-22.5-11.25</f>
        <v>101.3577975</v>
      </c>
    </row>
    <row r="2751" spans="1:4" x14ac:dyDescent="0.2">
      <c r="A2751" s="12" t="s">
        <v>62</v>
      </c>
      <c r="B2751" s="13">
        <v>1</v>
      </c>
      <c r="C2751" s="14">
        <v>250</v>
      </c>
      <c r="D2751" s="15">
        <f>98.49738-9-2.64</f>
        <v>86.857380000000006</v>
      </c>
    </row>
    <row r="2752" spans="1:4" x14ac:dyDescent="0.2">
      <c r="A2752" s="12" t="s">
        <v>62</v>
      </c>
      <c r="B2752" s="13">
        <v>2</v>
      </c>
      <c r="C2752" s="14">
        <v>250</v>
      </c>
      <c r="D2752" s="15">
        <v>0</v>
      </c>
    </row>
    <row r="2753" spans="1:4" x14ac:dyDescent="0.2">
      <c r="A2753" s="12" t="s">
        <v>63</v>
      </c>
      <c r="B2753" s="13">
        <v>1</v>
      </c>
      <c r="C2753" s="14">
        <v>400</v>
      </c>
      <c r="D2753" s="15">
        <f>158.256495-55-8.25-8.25-0.88</f>
        <v>85.876495000000006</v>
      </c>
    </row>
    <row r="2754" spans="1:4" x14ac:dyDescent="0.2">
      <c r="A2754" s="12" t="s">
        <v>63</v>
      </c>
      <c r="B2754" s="13">
        <v>2</v>
      </c>
      <c r="C2754" s="14">
        <v>400</v>
      </c>
      <c r="D2754" s="15">
        <f>113.6601225-8.25-8.25-5.78-8.25</f>
        <v>83.130122499999999</v>
      </c>
    </row>
    <row r="2755" spans="1:4" x14ac:dyDescent="0.2">
      <c r="A2755" s="12" t="s">
        <v>64</v>
      </c>
      <c r="B2755" s="13">
        <v>1</v>
      </c>
      <c r="C2755" s="14">
        <v>630</v>
      </c>
      <c r="D2755" s="15">
        <f>241.344225-28.05-8.25</f>
        <v>205.04422499999998</v>
      </c>
    </row>
    <row r="2756" spans="1:4" x14ac:dyDescent="0.2">
      <c r="A2756" s="12" t="s">
        <v>64</v>
      </c>
      <c r="B2756" s="13">
        <v>2</v>
      </c>
      <c r="C2756" s="14">
        <v>630</v>
      </c>
      <c r="D2756" s="15">
        <f>244.45044-10.5</f>
        <v>233.95043999999999</v>
      </c>
    </row>
    <row r="2757" spans="1:4" x14ac:dyDescent="0.2">
      <c r="A2757" s="12" t="s">
        <v>65</v>
      </c>
      <c r="B2757" s="13">
        <v>1</v>
      </c>
      <c r="C2757" s="14">
        <v>400</v>
      </c>
      <c r="D2757" s="15">
        <f>130.99083-0.63-10.5</f>
        <v>119.86082999999999</v>
      </c>
    </row>
    <row r="2758" spans="1:4" x14ac:dyDescent="0.2">
      <c r="A2758" s="12" t="s">
        <v>65</v>
      </c>
      <c r="B2758" s="13">
        <v>2</v>
      </c>
      <c r="C2758" s="14">
        <v>400</v>
      </c>
      <c r="D2758" s="15">
        <v>152.58642</v>
      </c>
    </row>
    <row r="2759" spans="1:4" x14ac:dyDescent="0.2">
      <c r="A2759" s="12" t="s">
        <v>66</v>
      </c>
      <c r="B2759" s="13">
        <v>1</v>
      </c>
      <c r="C2759" s="14">
        <v>250</v>
      </c>
      <c r="D2759" s="15">
        <f>84.98781-3-0.6-6</f>
        <v>75.387810000000002</v>
      </c>
    </row>
    <row r="2760" spans="1:4" x14ac:dyDescent="0.2">
      <c r="A2760" s="12" t="s">
        <v>66</v>
      </c>
      <c r="B2760" s="13">
        <v>2</v>
      </c>
      <c r="C2760" s="14">
        <v>250</v>
      </c>
      <c r="D2760" s="15">
        <f>96.13074-10.5</f>
        <v>85.630740000000003</v>
      </c>
    </row>
    <row r="2761" spans="1:4" x14ac:dyDescent="0.2">
      <c r="A2761" s="12" t="s">
        <v>67</v>
      </c>
      <c r="B2761" s="13">
        <v>1</v>
      </c>
      <c r="C2761" s="14">
        <v>400</v>
      </c>
      <c r="D2761" s="15">
        <v>395</v>
      </c>
    </row>
    <row r="2762" spans="1:4" x14ac:dyDescent="0.2">
      <c r="A2762" s="12" t="s">
        <v>67</v>
      </c>
      <c r="B2762" s="13">
        <v>2</v>
      </c>
      <c r="C2762" s="14">
        <v>400</v>
      </c>
      <c r="D2762" s="15">
        <v>388</v>
      </c>
    </row>
    <row r="2763" spans="1:4" x14ac:dyDescent="0.2">
      <c r="A2763" s="12" t="s">
        <v>68</v>
      </c>
      <c r="B2763" s="13">
        <v>1</v>
      </c>
      <c r="C2763" s="14">
        <v>400</v>
      </c>
      <c r="D2763" s="15">
        <f>172.60425-3.5-10.5-73.5</f>
        <v>85.104250000000008</v>
      </c>
    </row>
    <row r="2764" spans="1:4" x14ac:dyDescent="0.2">
      <c r="A2764" s="12" t="s">
        <v>68</v>
      </c>
      <c r="B2764" s="13">
        <v>2</v>
      </c>
      <c r="C2764" s="14">
        <v>400</v>
      </c>
      <c r="D2764" s="15">
        <f>155.9638125-73.5</f>
        <v>82.463812499999989</v>
      </c>
    </row>
    <row r="2765" spans="1:4" x14ac:dyDescent="0.2">
      <c r="A2765" s="12" t="s">
        <v>69</v>
      </c>
      <c r="B2765" s="13">
        <v>1</v>
      </c>
      <c r="C2765" s="14">
        <v>630</v>
      </c>
      <c r="D2765" s="15">
        <f>207.07725-6-15</f>
        <v>186.07724999999999</v>
      </c>
    </row>
    <row r="2766" spans="1:4" x14ac:dyDescent="0.2">
      <c r="A2766" s="12" t="s">
        <v>69</v>
      </c>
      <c r="B2766" s="13">
        <v>2</v>
      </c>
      <c r="C2766" s="14">
        <v>630</v>
      </c>
      <c r="D2766" s="15">
        <f>216.34659-30-20.4</f>
        <v>165.94658999999999</v>
      </c>
    </row>
    <row r="2767" spans="1:4" x14ac:dyDescent="0.2">
      <c r="A2767" s="12" t="s">
        <v>70</v>
      </c>
      <c r="B2767" s="13">
        <v>1</v>
      </c>
      <c r="C2767" s="14">
        <v>400</v>
      </c>
      <c r="D2767" s="15">
        <v>0</v>
      </c>
    </row>
    <row r="2768" spans="1:4" x14ac:dyDescent="0.2">
      <c r="A2768" s="12" t="s">
        <v>70</v>
      </c>
      <c r="B2768" s="13">
        <v>2</v>
      </c>
      <c r="C2768" s="14">
        <v>400</v>
      </c>
      <c r="D2768" s="15">
        <v>0</v>
      </c>
    </row>
    <row r="2769" spans="1:4" x14ac:dyDescent="0.2">
      <c r="A2769" s="12" t="s">
        <v>71</v>
      </c>
      <c r="B2769" s="13">
        <v>1</v>
      </c>
      <c r="C2769" s="14">
        <v>100</v>
      </c>
      <c r="D2769" s="15">
        <v>45</v>
      </c>
    </row>
    <row r="2770" spans="1:4" x14ac:dyDescent="0.2">
      <c r="A2770" s="12" t="s">
        <v>71</v>
      </c>
      <c r="B2770" s="13">
        <v>2</v>
      </c>
      <c r="C2770" s="14">
        <v>100</v>
      </c>
      <c r="D2770" s="15">
        <v>45</v>
      </c>
    </row>
    <row r="2771" spans="1:4" x14ac:dyDescent="0.2">
      <c r="A2771" s="12" t="s">
        <v>72</v>
      </c>
      <c r="B2771" s="13">
        <v>1</v>
      </c>
      <c r="C2771" s="14">
        <v>630</v>
      </c>
      <c r="D2771" s="15">
        <f>280.5417-48</f>
        <v>232.54169999999999</v>
      </c>
    </row>
    <row r="2772" spans="1:4" x14ac:dyDescent="0.2">
      <c r="A2772" s="12" t="s">
        <v>72</v>
      </c>
      <c r="B2772" s="13">
        <v>2</v>
      </c>
      <c r="C2772" s="14">
        <v>630</v>
      </c>
      <c r="D2772" s="15">
        <f>231.13809-1.6-12-5.6-12-12-36</f>
        <v>151.93809000000002</v>
      </c>
    </row>
    <row r="2773" spans="1:4" x14ac:dyDescent="0.2">
      <c r="A2773" s="12" t="s">
        <v>73</v>
      </c>
      <c r="B2773" s="13">
        <v>1</v>
      </c>
      <c r="C2773" s="14">
        <v>400</v>
      </c>
      <c r="D2773" s="15">
        <f>115.70628-10.5-23.4-28.2-12</f>
        <v>41.606280000000012</v>
      </c>
    </row>
    <row r="2774" spans="1:4" x14ac:dyDescent="0.2">
      <c r="A2774" s="12" t="s">
        <v>73</v>
      </c>
      <c r="B2774" s="13">
        <v>2</v>
      </c>
      <c r="C2774" s="14">
        <v>400</v>
      </c>
      <c r="D2774" s="15">
        <f>133.06164-10.5-4.8-4.2-28.2-6-9-6.3-12</f>
        <v>52.061640000000011</v>
      </c>
    </row>
    <row r="2775" spans="1:4" x14ac:dyDescent="0.2">
      <c r="A2775" s="12" t="s">
        <v>74</v>
      </c>
      <c r="B2775" s="13">
        <v>1</v>
      </c>
      <c r="C2775" s="14">
        <v>320</v>
      </c>
      <c r="D2775" s="15">
        <f>134.6073975-5.5-8.25-5.5-11-3.03</f>
        <v>101.32739749999999</v>
      </c>
    </row>
    <row r="2776" spans="1:4" x14ac:dyDescent="0.2">
      <c r="A2776" s="12" t="s">
        <v>74</v>
      </c>
      <c r="B2776" s="13">
        <v>2</v>
      </c>
      <c r="C2776" s="14">
        <v>250</v>
      </c>
      <c r="D2776" s="15">
        <f>69.9744375-8.25-5.5-5.5-5.5</f>
        <v>45.224437499999993</v>
      </c>
    </row>
    <row r="2777" spans="1:4" x14ac:dyDescent="0.2">
      <c r="A2777" s="12" t="s">
        <v>75</v>
      </c>
      <c r="B2777" s="13">
        <v>1</v>
      </c>
      <c r="C2777" s="14">
        <v>400</v>
      </c>
      <c r="D2777" s="15">
        <f>130.448475-10.5-42-28-0.63-0.6-3.5-7.35-1.89</f>
        <v>35.978474999999996</v>
      </c>
    </row>
    <row r="2778" spans="1:4" x14ac:dyDescent="0.2">
      <c r="A2778" s="12" t="s">
        <v>75</v>
      </c>
      <c r="B2778" s="13">
        <v>2</v>
      </c>
      <c r="C2778" s="14">
        <v>400</v>
      </c>
      <c r="D2778" s="15">
        <f>160.031475-8.4-8.4</f>
        <v>143.23147499999999</v>
      </c>
    </row>
    <row r="2779" spans="1:4" x14ac:dyDescent="0.2">
      <c r="A2779" s="12" t="s">
        <v>76</v>
      </c>
      <c r="B2779" s="13">
        <v>1</v>
      </c>
      <c r="C2779" s="14">
        <v>630</v>
      </c>
      <c r="D2779" s="15">
        <f>235.87137-9-20.6-14.67-2.78-25.05-9-11.7</f>
        <v>143.07137000000003</v>
      </c>
    </row>
    <row r="2780" spans="1:4" x14ac:dyDescent="0.2">
      <c r="A2780" s="12" t="s">
        <v>76</v>
      </c>
      <c r="B2780" s="13">
        <v>2</v>
      </c>
      <c r="C2780" s="14">
        <v>630</v>
      </c>
      <c r="D2780" s="15">
        <f>244.598355-9</f>
        <v>235.598355</v>
      </c>
    </row>
    <row r="2781" spans="1:4" x14ac:dyDescent="0.2">
      <c r="A2781" s="12" t="s">
        <v>77</v>
      </c>
      <c r="B2781" s="13">
        <v>1</v>
      </c>
      <c r="C2781" s="14">
        <v>250</v>
      </c>
      <c r="D2781" s="15">
        <f>109.63564-10.5-1.4-10.5-10.5-10.5-7-10.5-10.5-0.35</f>
        <v>37.885639999999988</v>
      </c>
    </row>
    <row r="2782" spans="1:4" x14ac:dyDescent="0.2">
      <c r="A2782" s="12" t="s">
        <v>78</v>
      </c>
      <c r="B2782" s="13">
        <v>1</v>
      </c>
      <c r="C2782" s="14">
        <v>630</v>
      </c>
      <c r="D2782" s="15">
        <f>261.2387925-9</f>
        <v>252.23879249999999</v>
      </c>
    </row>
    <row r="2783" spans="1:4" x14ac:dyDescent="0.2">
      <c r="A2783" s="12" t="s">
        <v>78</v>
      </c>
      <c r="B2783" s="13">
        <v>2</v>
      </c>
      <c r="C2783" s="14">
        <v>630</v>
      </c>
      <c r="D2783" s="15">
        <v>234.24430500000003</v>
      </c>
    </row>
    <row r="2784" spans="1:4" x14ac:dyDescent="0.2">
      <c r="A2784" s="12" t="s">
        <v>79</v>
      </c>
      <c r="B2784" s="13">
        <v>1</v>
      </c>
      <c r="C2784" s="14">
        <v>630</v>
      </c>
      <c r="D2784" s="15">
        <f>284-275</f>
        <v>9</v>
      </c>
    </row>
    <row r="2785" spans="1:4" x14ac:dyDescent="0.2">
      <c r="A2785" s="12" t="s">
        <v>79</v>
      </c>
      <c r="B2785" s="13">
        <v>2</v>
      </c>
      <c r="C2785" s="14">
        <v>630</v>
      </c>
      <c r="D2785" s="15">
        <f>284-275</f>
        <v>9</v>
      </c>
    </row>
    <row r="2786" spans="1:4" x14ac:dyDescent="0.2">
      <c r="A2786" s="12" t="s">
        <v>80</v>
      </c>
      <c r="B2786" s="13">
        <v>1</v>
      </c>
      <c r="C2786" s="14">
        <v>250</v>
      </c>
      <c r="D2786" s="15">
        <v>79</v>
      </c>
    </row>
    <row r="2787" spans="1:4" x14ac:dyDescent="0.2">
      <c r="A2787" s="12" t="s">
        <v>80</v>
      </c>
      <c r="B2787" s="13">
        <v>2</v>
      </c>
      <c r="C2787" s="14">
        <v>250</v>
      </c>
      <c r="D2787" s="14">
        <v>92</v>
      </c>
    </row>
    <row r="2788" spans="1:4" x14ac:dyDescent="0.2">
      <c r="A2788" s="12" t="s">
        <v>81</v>
      </c>
      <c r="B2788" s="13">
        <v>1</v>
      </c>
      <c r="C2788" s="14">
        <v>100</v>
      </c>
      <c r="D2788" s="15">
        <v>60</v>
      </c>
    </row>
    <row r="2789" spans="1:4" x14ac:dyDescent="0.2">
      <c r="A2789" s="12" t="s">
        <v>82</v>
      </c>
      <c r="B2789" s="13">
        <v>1</v>
      </c>
      <c r="C2789" s="14">
        <v>100</v>
      </c>
      <c r="D2789" s="15">
        <f>45-8.25-5.55-8.25-16.5</f>
        <v>6.4499999999999993</v>
      </c>
    </row>
    <row r="2790" spans="1:4" x14ac:dyDescent="0.2">
      <c r="A2790" s="12" t="s">
        <v>82</v>
      </c>
      <c r="B2790" s="13">
        <v>2</v>
      </c>
      <c r="C2790" s="14">
        <v>100</v>
      </c>
      <c r="D2790" s="15">
        <f>45-13.75-5.5</f>
        <v>25.75</v>
      </c>
    </row>
    <row r="2791" spans="1:4" x14ac:dyDescent="0.2">
      <c r="A2791" s="12" t="s">
        <v>83</v>
      </c>
      <c r="B2791" s="19">
        <v>1</v>
      </c>
      <c r="C2791" s="20">
        <v>400</v>
      </c>
      <c r="D2791" s="15">
        <f>145.68372-9-8.4-10.2</f>
        <v>118.08371999999999</v>
      </c>
    </row>
    <row r="2792" spans="1:4" x14ac:dyDescent="0.2">
      <c r="A2792" s="12" t="s">
        <v>83</v>
      </c>
      <c r="B2792" s="19">
        <v>2</v>
      </c>
      <c r="C2792" s="20">
        <v>400</v>
      </c>
      <c r="D2792" s="15">
        <f>125.56728-60-9</f>
        <v>56.567279999999997</v>
      </c>
    </row>
    <row r="2793" spans="1:4" x14ac:dyDescent="0.2">
      <c r="A2793" s="12" t="s">
        <v>44</v>
      </c>
      <c r="B2793" s="19">
        <v>3</v>
      </c>
      <c r="C2793" s="20">
        <v>400</v>
      </c>
      <c r="D2793" s="15">
        <f>180-10.5</f>
        <v>169.5</v>
      </c>
    </row>
    <row r="2794" spans="1:4" x14ac:dyDescent="0.2">
      <c r="A2794" s="12" t="s">
        <v>44</v>
      </c>
      <c r="B2794" s="13">
        <v>4</v>
      </c>
      <c r="C2794" s="14">
        <v>400</v>
      </c>
      <c r="D2794" s="15">
        <v>161.26410000000001</v>
      </c>
    </row>
    <row r="2795" spans="1:4" x14ac:dyDescent="0.2">
      <c r="A2795" s="12" t="s">
        <v>84</v>
      </c>
      <c r="B2795" s="13">
        <v>1</v>
      </c>
      <c r="C2795" s="14">
        <v>400</v>
      </c>
      <c r="D2795" s="15">
        <f>141.14766-7-10.5-7</f>
        <v>116.64766</v>
      </c>
    </row>
    <row r="2796" spans="1:4" x14ac:dyDescent="0.2">
      <c r="A2796" s="12" t="s">
        <v>84</v>
      </c>
      <c r="B2796" s="13">
        <v>2</v>
      </c>
      <c r="C2796" s="14">
        <v>400</v>
      </c>
      <c r="D2796" s="15">
        <f>171.1990575-7-7-10.5-10.5</f>
        <v>136.19905750000001</v>
      </c>
    </row>
    <row r="2797" spans="1:4" x14ac:dyDescent="0.2">
      <c r="A2797" s="12" t="s">
        <v>85</v>
      </c>
      <c r="B2797" s="13">
        <v>1</v>
      </c>
      <c r="C2797" s="14">
        <v>320</v>
      </c>
      <c r="D2797" s="15">
        <f>123.8096025-10.5-14</f>
        <v>99.309602499999997</v>
      </c>
    </row>
    <row r="2798" spans="1:4" x14ac:dyDescent="0.2">
      <c r="A2798" s="12" t="s">
        <v>85</v>
      </c>
      <c r="B2798" s="13">
        <v>2</v>
      </c>
      <c r="C2798" s="14">
        <v>320</v>
      </c>
      <c r="D2798" s="15">
        <f>135.6428025-14</f>
        <v>121.64280249999999</v>
      </c>
    </row>
    <row r="2799" spans="1:4" x14ac:dyDescent="0.2">
      <c r="A2799" s="12" t="s">
        <v>86</v>
      </c>
      <c r="B2799" s="13">
        <v>1</v>
      </c>
      <c r="C2799" s="14">
        <v>160</v>
      </c>
      <c r="D2799" s="15">
        <v>0</v>
      </c>
    </row>
    <row r="2800" spans="1:4" x14ac:dyDescent="0.2">
      <c r="A2800" s="12" t="s">
        <v>86</v>
      </c>
      <c r="B2800" s="13">
        <v>2</v>
      </c>
      <c r="C2800" s="14">
        <v>100</v>
      </c>
      <c r="D2800" s="15">
        <v>0</v>
      </c>
    </row>
    <row r="2801" spans="1:4" x14ac:dyDescent="0.2">
      <c r="A2801" s="12" t="s">
        <v>87</v>
      </c>
      <c r="B2801" s="13">
        <v>1</v>
      </c>
      <c r="C2801" s="14">
        <v>100</v>
      </c>
      <c r="D2801" s="15">
        <v>45</v>
      </c>
    </row>
    <row r="2802" spans="1:4" x14ac:dyDescent="0.2">
      <c r="A2802" s="12" t="s">
        <v>87</v>
      </c>
      <c r="B2802" s="13">
        <v>2</v>
      </c>
      <c r="C2802" s="14">
        <v>100</v>
      </c>
      <c r="D2802" s="15">
        <v>45</v>
      </c>
    </row>
    <row r="2803" spans="1:4" x14ac:dyDescent="0.2">
      <c r="A2803" s="12" t="s">
        <v>88</v>
      </c>
      <c r="B2803" s="13">
        <v>1</v>
      </c>
      <c r="C2803" s="14">
        <v>100</v>
      </c>
      <c r="D2803" s="15">
        <v>39.182010000000005</v>
      </c>
    </row>
    <row r="2804" spans="1:4" x14ac:dyDescent="0.2">
      <c r="A2804" s="12" t="s">
        <v>88</v>
      </c>
      <c r="B2804" s="13">
        <v>2</v>
      </c>
      <c r="C2804" s="14">
        <v>100</v>
      </c>
      <c r="D2804" s="15">
        <v>41.647259999999996</v>
      </c>
    </row>
    <row r="2805" spans="1:4" x14ac:dyDescent="0.2">
      <c r="A2805" s="12" t="s">
        <v>89</v>
      </c>
      <c r="B2805" s="13">
        <v>1</v>
      </c>
      <c r="C2805" s="14">
        <v>160</v>
      </c>
      <c r="D2805" s="14">
        <f>96-19.25</f>
        <v>76.75</v>
      </c>
    </row>
    <row r="2806" spans="1:4" x14ac:dyDescent="0.2">
      <c r="A2806" s="12" t="s">
        <v>89</v>
      </c>
      <c r="B2806" s="13">
        <v>2</v>
      </c>
      <c r="C2806" s="14">
        <v>100</v>
      </c>
      <c r="D2806" s="15">
        <f>32.0574375-16.5</f>
        <v>15.557437499999999</v>
      </c>
    </row>
    <row r="2807" spans="1:4" x14ac:dyDescent="0.2">
      <c r="A2807" s="12" t="s">
        <v>90</v>
      </c>
      <c r="B2807" s="13">
        <v>1</v>
      </c>
      <c r="C2807" s="14">
        <v>400</v>
      </c>
      <c r="D2807" s="15">
        <f>160.4012625-60</f>
        <v>100.4012625</v>
      </c>
    </row>
    <row r="2808" spans="1:4" x14ac:dyDescent="0.2">
      <c r="A2808" s="12" t="s">
        <v>90</v>
      </c>
      <c r="B2808" s="13">
        <v>2</v>
      </c>
      <c r="C2808" s="14">
        <v>400</v>
      </c>
      <c r="D2808" s="15">
        <v>168</v>
      </c>
    </row>
    <row r="2809" spans="1:4" x14ac:dyDescent="0.2">
      <c r="A2809" s="12" t="s">
        <v>91</v>
      </c>
      <c r="B2809" s="19">
        <v>1</v>
      </c>
      <c r="C2809" s="20">
        <v>630</v>
      </c>
      <c r="D2809" s="15">
        <f>205-42</f>
        <v>163</v>
      </c>
    </row>
    <row r="2810" spans="1:4" x14ac:dyDescent="0.2">
      <c r="A2810" s="12" t="s">
        <v>91</v>
      </c>
      <c r="B2810" s="19">
        <v>2</v>
      </c>
      <c r="C2810" s="20">
        <v>630</v>
      </c>
      <c r="D2810" s="15">
        <v>269.37411750000001</v>
      </c>
    </row>
    <row r="2811" spans="1:4" x14ac:dyDescent="0.2">
      <c r="A2811" s="12" t="s">
        <v>92</v>
      </c>
      <c r="B2811" s="19">
        <v>2</v>
      </c>
      <c r="C2811" s="20">
        <v>180</v>
      </c>
      <c r="D2811" s="15">
        <f>108-49-3.5</f>
        <v>55.5</v>
      </c>
    </row>
    <row r="2812" spans="1:4" x14ac:dyDescent="0.2">
      <c r="A2812" s="12" t="s">
        <v>93</v>
      </c>
      <c r="B2812" s="19">
        <v>1</v>
      </c>
      <c r="C2812" s="20">
        <v>250</v>
      </c>
      <c r="D2812" s="15">
        <v>0</v>
      </c>
    </row>
    <row r="2813" spans="1:4" x14ac:dyDescent="0.2">
      <c r="A2813" s="12" t="s">
        <v>93</v>
      </c>
      <c r="B2813" s="13">
        <v>2</v>
      </c>
      <c r="C2813" s="14">
        <v>250</v>
      </c>
      <c r="D2813" s="15">
        <f>56.144385-9-9-9-17.22-9-0.96</f>
        <v>1.9643850000000009</v>
      </c>
    </row>
    <row r="2814" spans="1:4" x14ac:dyDescent="0.2">
      <c r="A2814" s="12" t="s">
        <v>94</v>
      </c>
      <c r="B2814" s="13">
        <v>1</v>
      </c>
      <c r="C2814" s="14">
        <v>400</v>
      </c>
      <c r="D2814" s="15">
        <v>0</v>
      </c>
    </row>
    <row r="2815" spans="1:4" x14ac:dyDescent="0.2">
      <c r="A2815" s="48" t="s">
        <v>94</v>
      </c>
      <c r="B2815" s="13">
        <v>2</v>
      </c>
      <c r="C2815" s="17">
        <v>400</v>
      </c>
      <c r="D2815" s="15">
        <v>0</v>
      </c>
    </row>
    <row r="2816" spans="1:4" x14ac:dyDescent="0.2">
      <c r="A2816" s="48" t="s">
        <v>95</v>
      </c>
      <c r="B2816" s="13">
        <v>1</v>
      </c>
      <c r="C2816" s="17">
        <v>400</v>
      </c>
      <c r="D2816" s="15">
        <v>0</v>
      </c>
    </row>
    <row r="2817" spans="1:4" x14ac:dyDescent="0.2">
      <c r="A2817" s="48" t="s">
        <v>95</v>
      </c>
      <c r="B2817" s="13">
        <v>2</v>
      </c>
      <c r="C2817" s="17">
        <v>400</v>
      </c>
      <c r="D2817" s="15">
        <v>0</v>
      </c>
    </row>
    <row r="2818" spans="1:4" x14ac:dyDescent="0.2">
      <c r="A2818" s="48" t="s">
        <v>96</v>
      </c>
      <c r="B2818" s="13">
        <v>1</v>
      </c>
      <c r="C2818" s="17">
        <v>400</v>
      </c>
      <c r="D2818" s="15">
        <v>163.43352000000002</v>
      </c>
    </row>
    <row r="2819" spans="1:4" x14ac:dyDescent="0.2">
      <c r="A2819" s="48" t="s">
        <v>96</v>
      </c>
      <c r="B2819" s="13">
        <v>2</v>
      </c>
      <c r="C2819" s="17">
        <v>400</v>
      </c>
      <c r="D2819" s="15">
        <v>160.25334750000002</v>
      </c>
    </row>
    <row r="2820" spans="1:4" x14ac:dyDescent="0.2">
      <c r="A2820" s="48" t="s">
        <v>97</v>
      </c>
      <c r="B2820" s="13">
        <v>1</v>
      </c>
      <c r="C2820" s="17">
        <v>400</v>
      </c>
      <c r="D2820" s="15">
        <f>156.1815-0.21-10.5-10.5-7.7-7-10.5-10.5-7-4.55-10.5-0.7-21-0.16-10.5</f>
        <v>44.861499999999992</v>
      </c>
    </row>
    <row r="2821" spans="1:4" x14ac:dyDescent="0.2">
      <c r="A2821" s="12" t="s">
        <v>98</v>
      </c>
      <c r="B2821" s="13">
        <v>1</v>
      </c>
      <c r="C2821" s="14">
        <v>400</v>
      </c>
      <c r="D2821" s="15">
        <f>164.3949675-3.5-1.75-28</f>
        <v>131.14496750000001</v>
      </c>
    </row>
    <row r="2822" spans="1:4" x14ac:dyDescent="0.2">
      <c r="A2822" s="12" t="s">
        <v>98</v>
      </c>
      <c r="B2822" s="13">
        <v>2</v>
      </c>
      <c r="C2822" s="14">
        <v>400</v>
      </c>
      <c r="D2822" s="15">
        <f>132.07554-14-3.5</f>
        <v>114.57553999999999</v>
      </c>
    </row>
    <row r="2823" spans="1:4" x14ac:dyDescent="0.2">
      <c r="A2823" s="12" t="s">
        <v>99</v>
      </c>
      <c r="B2823" s="13">
        <v>1</v>
      </c>
      <c r="C2823" s="14">
        <v>400</v>
      </c>
      <c r="D2823" s="15">
        <f>143.61291-49.8</f>
        <v>93.812910000000002</v>
      </c>
    </row>
    <row r="2824" spans="1:4" x14ac:dyDescent="0.2">
      <c r="A2824" s="12" t="s">
        <v>99</v>
      </c>
      <c r="B2824" s="13">
        <v>2</v>
      </c>
      <c r="C2824" s="14">
        <v>400</v>
      </c>
      <c r="D2824" s="15">
        <f>152.8575975-5.4</f>
        <v>147.45759749999999</v>
      </c>
    </row>
    <row r="2825" spans="1:4" x14ac:dyDescent="0.2">
      <c r="A2825" s="12" t="s">
        <v>100</v>
      </c>
      <c r="B2825" s="13">
        <v>1</v>
      </c>
      <c r="C2825" s="14">
        <v>250</v>
      </c>
      <c r="D2825" s="15">
        <f>108.75282-10.5-1.4-10.5-25.55</f>
        <v>60.802819999999997</v>
      </c>
    </row>
    <row r="2826" spans="1:4" x14ac:dyDescent="0.2">
      <c r="A2826" s="12" t="s">
        <v>100</v>
      </c>
      <c r="B2826" s="13">
        <v>2</v>
      </c>
      <c r="C2826" s="14">
        <v>250</v>
      </c>
      <c r="D2826" s="15">
        <f>92.3096025-25.55</f>
        <v>66.7596025</v>
      </c>
    </row>
    <row r="2827" spans="1:4" x14ac:dyDescent="0.2">
      <c r="A2827" s="12" t="s">
        <v>101</v>
      </c>
      <c r="B2827" s="13">
        <v>1</v>
      </c>
      <c r="C2827" s="14">
        <v>250</v>
      </c>
      <c r="D2827" s="15">
        <v>73.302525000000003</v>
      </c>
    </row>
    <row r="2828" spans="1:4" x14ac:dyDescent="0.2">
      <c r="A2828" s="12" t="s">
        <v>101</v>
      </c>
      <c r="B2828" s="13">
        <v>2</v>
      </c>
      <c r="C2828" s="14">
        <v>400</v>
      </c>
      <c r="D2828" s="15">
        <v>175.85838000000001</v>
      </c>
    </row>
    <row r="2829" spans="1:4" x14ac:dyDescent="0.2">
      <c r="A2829" s="12" t="s">
        <v>102</v>
      </c>
      <c r="B2829" s="13">
        <v>1</v>
      </c>
      <c r="C2829" s="14">
        <v>400</v>
      </c>
      <c r="D2829" s="15">
        <f>124.236045-16.5</f>
        <v>107.736045</v>
      </c>
    </row>
    <row r="2830" spans="1:4" x14ac:dyDescent="0.2">
      <c r="A2830" s="12" t="s">
        <v>102</v>
      </c>
      <c r="B2830" s="13">
        <v>2</v>
      </c>
      <c r="C2830" s="14">
        <v>400</v>
      </c>
      <c r="D2830" s="15">
        <f>167.723055-8.25</f>
        <v>159.47305499999999</v>
      </c>
    </row>
    <row r="2831" spans="1:4" x14ac:dyDescent="0.2">
      <c r="A2831" s="12" t="s">
        <v>103</v>
      </c>
      <c r="B2831" s="13">
        <v>1</v>
      </c>
      <c r="C2831" s="14">
        <v>630</v>
      </c>
      <c r="D2831" s="15">
        <v>274.2553125</v>
      </c>
    </row>
    <row r="2832" spans="1:4" x14ac:dyDescent="0.2">
      <c r="A2832" s="12" t="s">
        <v>103</v>
      </c>
      <c r="B2832" s="13">
        <v>2</v>
      </c>
      <c r="C2832" s="14">
        <v>630</v>
      </c>
      <c r="D2832" s="15">
        <v>255.6180225</v>
      </c>
    </row>
    <row r="2833" spans="1:4" x14ac:dyDescent="0.2">
      <c r="A2833" s="48" t="s">
        <v>104</v>
      </c>
      <c r="B2833" s="49">
        <v>1</v>
      </c>
      <c r="C2833" s="17">
        <v>250</v>
      </c>
      <c r="D2833" s="15">
        <f>103.03344-90-9</f>
        <v>4.0334399999999988</v>
      </c>
    </row>
    <row r="2834" spans="1:4" x14ac:dyDescent="0.2">
      <c r="A2834" s="48" t="s">
        <v>104</v>
      </c>
      <c r="B2834" s="49">
        <v>2</v>
      </c>
      <c r="C2834" s="17">
        <v>250</v>
      </c>
      <c r="D2834" s="15">
        <v>0</v>
      </c>
    </row>
    <row r="2835" spans="1:4" x14ac:dyDescent="0.2">
      <c r="A2835" s="12" t="s">
        <v>105</v>
      </c>
      <c r="B2835" s="13">
        <v>1</v>
      </c>
      <c r="C2835" s="14">
        <v>400</v>
      </c>
      <c r="D2835" s="15">
        <f>156.92526-56-12.6</f>
        <v>88.325260000000014</v>
      </c>
    </row>
    <row r="2836" spans="1:4" x14ac:dyDescent="0.2">
      <c r="A2836" s="12" t="s">
        <v>105</v>
      </c>
      <c r="B2836" s="13">
        <v>2</v>
      </c>
      <c r="C2836" s="14">
        <v>400</v>
      </c>
      <c r="D2836" s="15">
        <v>149.45555250000001</v>
      </c>
    </row>
    <row r="2837" spans="1:4" x14ac:dyDescent="0.2">
      <c r="A2837" s="12" t="s">
        <v>106</v>
      </c>
      <c r="B2837" s="13">
        <v>1</v>
      </c>
      <c r="C2837" s="14">
        <v>630</v>
      </c>
      <c r="D2837" s="15">
        <v>0</v>
      </c>
    </row>
    <row r="2838" spans="1:4" x14ac:dyDescent="0.2">
      <c r="A2838" s="12" t="s">
        <v>106</v>
      </c>
      <c r="B2838" s="13">
        <v>2</v>
      </c>
      <c r="C2838" s="14">
        <v>630</v>
      </c>
      <c r="D2838" s="15">
        <v>0</v>
      </c>
    </row>
    <row r="2839" spans="1:4" x14ac:dyDescent="0.2">
      <c r="A2839" s="12" t="s">
        <v>107</v>
      </c>
      <c r="B2839" s="13">
        <v>1</v>
      </c>
      <c r="C2839" s="14">
        <v>400</v>
      </c>
      <c r="D2839" s="15">
        <f>121.3517025-7-10.5-7</f>
        <v>96.851702500000002</v>
      </c>
    </row>
    <row r="2840" spans="1:4" x14ac:dyDescent="0.2">
      <c r="A2840" s="12" t="s">
        <v>107</v>
      </c>
      <c r="B2840" s="13">
        <v>2</v>
      </c>
      <c r="C2840" s="14">
        <v>400</v>
      </c>
      <c r="D2840" s="15">
        <v>56.269102500000017</v>
      </c>
    </row>
    <row r="2841" spans="1:4" x14ac:dyDescent="0.2">
      <c r="A2841" s="12" t="s">
        <v>108</v>
      </c>
      <c r="B2841" s="13">
        <v>1</v>
      </c>
      <c r="C2841" s="14">
        <v>400</v>
      </c>
      <c r="D2841" s="15">
        <f>125.86311-9-14.7-6.3</f>
        <v>95.863110000000006</v>
      </c>
    </row>
    <row r="2842" spans="1:4" x14ac:dyDescent="0.2">
      <c r="A2842" s="12" t="s">
        <v>108</v>
      </c>
      <c r="B2842" s="13">
        <v>2</v>
      </c>
      <c r="C2842" s="14">
        <v>400</v>
      </c>
      <c r="D2842" s="15">
        <f>143.61291-9-3</f>
        <v>131.61291</v>
      </c>
    </row>
    <row r="2843" spans="1:4" x14ac:dyDescent="0.2">
      <c r="A2843" s="48" t="s">
        <v>109</v>
      </c>
      <c r="B2843" s="13">
        <v>1</v>
      </c>
      <c r="C2843" s="17">
        <v>320</v>
      </c>
      <c r="D2843" s="15">
        <v>0</v>
      </c>
    </row>
    <row r="2844" spans="1:4" x14ac:dyDescent="0.2">
      <c r="A2844" s="48" t="s">
        <v>109</v>
      </c>
      <c r="B2844" s="13">
        <v>2</v>
      </c>
      <c r="C2844" s="17">
        <v>250</v>
      </c>
      <c r="D2844" s="15">
        <f>91.1262825-7.5-5.5-11.25-11.25-18.75</f>
        <v>36.876282500000002</v>
      </c>
    </row>
    <row r="2845" spans="1:4" x14ac:dyDescent="0.2">
      <c r="A2845" s="48" t="s">
        <v>110</v>
      </c>
      <c r="B2845" s="13">
        <v>1</v>
      </c>
      <c r="C2845" s="17">
        <v>1000</v>
      </c>
      <c r="D2845" s="15">
        <f>415-35-122.5-28</f>
        <v>229.5</v>
      </c>
    </row>
    <row r="2846" spans="1:4" x14ac:dyDescent="0.2">
      <c r="A2846" s="48" t="s">
        <v>110</v>
      </c>
      <c r="B2846" s="13">
        <v>2</v>
      </c>
      <c r="C2846" s="17">
        <v>1000</v>
      </c>
      <c r="D2846" s="15">
        <f>389-122.5</f>
        <v>266.5</v>
      </c>
    </row>
    <row r="2847" spans="1:4" x14ac:dyDescent="0.2">
      <c r="A2847" s="12" t="s">
        <v>111</v>
      </c>
      <c r="B2847" s="13">
        <v>1</v>
      </c>
      <c r="C2847" s="14">
        <v>400</v>
      </c>
      <c r="D2847" s="15">
        <v>170.97718499999999</v>
      </c>
    </row>
    <row r="2848" spans="1:4" x14ac:dyDescent="0.2">
      <c r="A2848" s="12" t="s">
        <v>111</v>
      </c>
      <c r="B2848" s="13">
        <v>2</v>
      </c>
      <c r="C2848" s="14">
        <v>400</v>
      </c>
      <c r="D2848" s="15">
        <v>172.97403750000001</v>
      </c>
    </row>
    <row r="2849" spans="1:4" x14ac:dyDescent="0.2">
      <c r="A2849" s="12" t="s">
        <v>112</v>
      </c>
      <c r="B2849" s="13">
        <v>1</v>
      </c>
      <c r="C2849" s="14">
        <v>250</v>
      </c>
      <c r="D2849" s="15">
        <f>80.6243175-10.5</f>
        <v>70.124317500000004</v>
      </c>
    </row>
    <row r="2850" spans="1:4" x14ac:dyDescent="0.2">
      <c r="A2850" s="12" t="s">
        <v>112</v>
      </c>
      <c r="B2850" s="13">
        <v>2</v>
      </c>
      <c r="C2850" s="14">
        <v>180</v>
      </c>
      <c r="D2850" s="15">
        <v>33.963030000000003</v>
      </c>
    </row>
    <row r="2851" spans="1:4" x14ac:dyDescent="0.2">
      <c r="A2851" s="12" t="s">
        <v>113</v>
      </c>
      <c r="B2851" s="13">
        <v>1</v>
      </c>
      <c r="C2851" s="14">
        <v>100</v>
      </c>
      <c r="D2851" s="15">
        <v>0</v>
      </c>
    </row>
    <row r="2852" spans="1:4" x14ac:dyDescent="0.2">
      <c r="A2852" s="48" t="s">
        <v>114</v>
      </c>
      <c r="B2852" s="13">
        <v>1</v>
      </c>
      <c r="C2852" s="17">
        <v>100</v>
      </c>
      <c r="D2852" s="15">
        <v>56.450039999999994</v>
      </c>
    </row>
    <row r="2853" spans="1:4" x14ac:dyDescent="0.2">
      <c r="A2853" s="48" t="s">
        <v>115</v>
      </c>
      <c r="B2853" s="13">
        <v>1</v>
      </c>
      <c r="C2853" s="17">
        <v>630</v>
      </c>
      <c r="D2853" s="15">
        <v>0</v>
      </c>
    </row>
    <row r="2854" spans="1:4" x14ac:dyDescent="0.2">
      <c r="A2854" s="48" t="s">
        <v>115</v>
      </c>
      <c r="B2854" s="13">
        <v>2</v>
      </c>
      <c r="C2854" s="17">
        <v>630</v>
      </c>
      <c r="D2854" s="15">
        <v>0</v>
      </c>
    </row>
    <row r="2855" spans="1:4" x14ac:dyDescent="0.2">
      <c r="A2855" s="48" t="s">
        <v>116</v>
      </c>
      <c r="B2855" s="13">
        <v>1</v>
      </c>
      <c r="C2855" s="17">
        <v>400</v>
      </c>
      <c r="D2855" s="15">
        <f>135.1077975-7.8-1.8</f>
        <v>125.50779750000001</v>
      </c>
    </row>
    <row r="2856" spans="1:4" x14ac:dyDescent="0.2">
      <c r="A2856" s="12" t="s">
        <v>116</v>
      </c>
      <c r="B2856" s="13">
        <v>2</v>
      </c>
      <c r="C2856" s="14">
        <v>400</v>
      </c>
      <c r="D2856" s="15">
        <f>164.61684-6-9</f>
        <v>149.61684</v>
      </c>
    </row>
    <row r="2857" spans="1:4" x14ac:dyDescent="0.2">
      <c r="A2857" s="12" t="s">
        <v>117</v>
      </c>
      <c r="B2857" s="13">
        <v>1</v>
      </c>
      <c r="C2857" s="14">
        <v>630</v>
      </c>
      <c r="D2857" s="15">
        <f>229.1412375-17.64-5.6-10.5</f>
        <v>195.40123750000001</v>
      </c>
    </row>
    <row r="2858" spans="1:4" x14ac:dyDescent="0.2">
      <c r="A2858" s="12" t="s">
        <v>117</v>
      </c>
      <c r="B2858" s="13">
        <v>2</v>
      </c>
      <c r="C2858" s="14">
        <v>630</v>
      </c>
      <c r="D2858" s="15">
        <v>260.20338750000002</v>
      </c>
    </row>
    <row r="2859" spans="1:4" x14ac:dyDescent="0.2">
      <c r="A2859" s="12" t="s">
        <v>118</v>
      </c>
      <c r="B2859" s="13">
        <v>1</v>
      </c>
      <c r="C2859" s="14">
        <v>400</v>
      </c>
      <c r="D2859" s="15">
        <f>148.74063-21-10.5-49.5-10.5-14-10.5-0.7</f>
        <v>32.040630000000007</v>
      </c>
    </row>
    <row r="2860" spans="1:4" x14ac:dyDescent="0.2">
      <c r="A2860" s="12" t="s">
        <v>118</v>
      </c>
      <c r="B2860" s="13">
        <v>2</v>
      </c>
      <c r="C2860" s="14">
        <v>400</v>
      </c>
      <c r="D2860" s="15">
        <v>0</v>
      </c>
    </row>
    <row r="2861" spans="1:4" x14ac:dyDescent="0.2">
      <c r="A2861" s="48" t="s">
        <v>119</v>
      </c>
      <c r="B2861" s="13">
        <v>1</v>
      </c>
      <c r="C2861" s="17">
        <v>100</v>
      </c>
      <c r="D2861" s="15">
        <f>45-17.5-2.1-17.5</f>
        <v>7.8999999999999986</v>
      </c>
    </row>
    <row r="2862" spans="1:4" x14ac:dyDescent="0.2">
      <c r="A2862" s="48" t="s">
        <v>119</v>
      </c>
      <c r="B2862" s="13">
        <v>2</v>
      </c>
      <c r="C2862" s="17">
        <v>250</v>
      </c>
      <c r="D2862" s="15">
        <f>90.5346225-31.5-10.5</f>
        <v>48.534622499999998</v>
      </c>
    </row>
    <row r="2863" spans="1:4" s="5" customFormat="1" x14ac:dyDescent="0.2">
      <c r="A2863" s="51"/>
      <c r="B2863" s="52"/>
      <c r="C2863" s="51">
        <f>SUM(C4:C2862)</f>
        <v>1179018</v>
      </c>
      <c r="D2863" s="53">
        <f>SUM(D4:D2862)</f>
        <v>339950.28944000026</v>
      </c>
    </row>
  </sheetData>
  <mergeCells count="5">
    <mergeCell ref="A1:D1"/>
    <mergeCell ref="A2:A3"/>
    <mergeCell ref="B2:B3"/>
    <mergeCell ref="C2:C3"/>
    <mergeCell ref="D2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1кв.2026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Татаева Елена Михайловна</dc:creator>
  <cp:lastModifiedBy>Татаева Елена Михайловна</cp:lastModifiedBy>
  <dcterms:created xsi:type="dcterms:W3CDTF">2026-05-07T11:47:28Z</dcterms:created>
  <dcterms:modified xsi:type="dcterms:W3CDTF">2026-05-07T11:48:37Z</dcterms:modified>
</cp:coreProperties>
</file>